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вл21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<sst xmlns="http://schemas.openxmlformats.org/spreadsheetml/2006/main" count="254" uniqueCount="210">
  <si>
    <t>ОТЧЕТ</t>
  </si>
  <si>
    <t xml:space="preserve">о стоимости содержания общедомового имущества многоквартирного жилого дома </t>
  </si>
  <si>
    <t xml:space="preserve">                             за 2012год.</t>
  </si>
  <si>
    <t>Адрес многоквартирного жилого дома</t>
  </si>
  <si>
    <t>Х.Давлетшиной 21</t>
  </si>
  <si>
    <t>Год ввода</t>
  </si>
  <si>
    <t>Общая полезная площадь, кв.м.</t>
  </si>
  <si>
    <t>S первых этажей, м2</t>
  </si>
  <si>
    <t>S второго этажа и выше, м2</t>
  </si>
  <si>
    <t>Жилая площадь, м2</t>
  </si>
  <si>
    <t>Количество этажей,ед.</t>
  </si>
  <si>
    <t>Количество лифтов</t>
  </si>
  <si>
    <t>Площадь кровли, м2</t>
  </si>
  <si>
    <t>Площадь подвала, м2</t>
  </si>
  <si>
    <t>Площадь убираемой территории (приведенная), в т.ч.:</t>
  </si>
  <si>
    <t>Площадь убираемой территории в т.ч.:</t>
  </si>
  <si>
    <t xml:space="preserve">   асфальт, м2</t>
  </si>
  <si>
    <t xml:space="preserve">   газон, м2</t>
  </si>
  <si>
    <t>Площадь лест. клеток: м2</t>
  </si>
  <si>
    <t>Количество квартир: шт..</t>
  </si>
  <si>
    <t>Количество проживающих: чел.</t>
  </si>
  <si>
    <t>Количество заявок (сантехнические, электромонтажные)</t>
  </si>
  <si>
    <t>Количество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</si>
  <si>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</si>
  <si>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</si>
  <si>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</si>
  <si>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</si>
  <si>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Количество шахтных дверей</t>
  </si>
  <si>
    <t>Степень благоустройства жилых помещений-</t>
  </si>
  <si>
    <t>ХГВС, ЦО, м/пров, лифт</t>
  </si>
  <si>
    <t>Статьи доходов</t>
  </si>
  <si>
    <t>Задолженность на 01.01.2012г.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</si>
  <si>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</si>
  <si>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</si>
  <si>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</si>
  <si>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</si>
  <si>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</si>
  <si>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</si>
  <si>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наша сумма</t>
  </si>
  <si>
    <t>выручка по актам</t>
  </si>
  <si>
    <t>Поступление</t>
  </si>
  <si>
    <t>Задолженность на 01.01.2013г.</t>
  </si>
  <si>
    <t>Статьи расходов</t>
  </si>
  <si>
    <t>Сумма</t>
  </si>
  <si>
    <t>Санитарное содержание</t>
  </si>
  <si>
    <t>Уборка территории</t>
  </si>
  <si>
    <t xml:space="preserve">норматив по уборке на 1 дворника </t>
  </si>
  <si>
    <t>количество дворников</t>
  </si>
  <si>
    <t xml:space="preserve">расходы на оплату труда со страховыми взносами </t>
  </si>
  <si>
    <t>материалы,спец одежда, инв. и т.д.</t>
  </si>
  <si>
    <t xml:space="preserve">Механизированная уборка </t>
  </si>
  <si>
    <t>Уборка мусоропровода</t>
  </si>
  <si>
    <t>норматив на 1 рабочего по обслуживанию мусоропровода</t>
  </si>
  <si>
    <t>количество рабочих</t>
  </si>
  <si>
    <t>Уборка лестничных клеток</t>
  </si>
  <si>
    <t>норматив по уборке л/клеток на 1 уборщицу</t>
  </si>
  <si>
    <t>количество уборщиц</t>
  </si>
  <si>
    <t>Услуги операторов</t>
  </si>
  <si>
    <t>а) операторы 2 разряда</t>
  </si>
  <si>
    <t>количество</t>
  </si>
  <si>
    <t>расходы на оплату труда с ЕСН</t>
  </si>
  <si>
    <t>а) операторы 3 разряда</t>
  </si>
  <si>
    <t>Вывоз крупногабаритного мусора</t>
  </si>
  <si>
    <t>количество проживающих</t>
  </si>
  <si>
    <t>тариф на 1 чел. в месяц</t>
  </si>
  <si>
    <t>Вывоз твердобытовых отходов</t>
  </si>
  <si>
    <t>норматив в год</t>
  </si>
  <si>
    <t>тариф на 1 куб.м.</t>
  </si>
  <si>
    <t>Обследование вентканалов</t>
  </si>
  <si>
    <t>тариф на 1 вентканал</t>
  </si>
  <si>
    <t>количество вентканалов</t>
  </si>
  <si>
    <t>Обследование дымоходов</t>
  </si>
  <si>
    <t>тариф на 1 дымоход</t>
  </si>
  <si>
    <t>количество дымоходов</t>
  </si>
  <si>
    <t>Дезинсекция</t>
  </si>
  <si>
    <t>обрабатываемая площадь</t>
  </si>
  <si>
    <t>тариф на 1 обработку</t>
  </si>
  <si>
    <t>Дератизация</t>
  </si>
  <si>
    <t>Изготовление техпаспортов</t>
  </si>
  <si>
    <t>1. Текущий ремонт:</t>
  </si>
  <si>
    <t>Ремонт л/клеток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</si>
  <si>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</si>
  <si>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</si>
  <si>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</si>
  <si>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</si>
  <si>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</si>
  <si>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Пластиковые окна</t>
  </si>
  <si>
    <t>Техническое обслуживание конструктивных элементов</t>
  </si>
  <si>
    <t>а) Профилактический осмотр</t>
  </si>
  <si>
    <t>трудозатраты, ч/час</t>
  </si>
  <si>
    <t>материалы</t>
  </si>
  <si>
    <t>б) Набор работ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</si>
  <si>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</si>
  <si>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</si>
  <si>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</si>
  <si>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</si>
  <si>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</si>
  <si>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</si>
  <si>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дверей, ремонт замков, доводчиков</t>
  </si>
  <si>
    <t>Ремонт и установка продухов</t>
  </si>
  <si>
    <t>Ремонт межпанельных швов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</si>
  <si>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</si>
  <si>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</si>
  <si>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</si>
  <si>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</si>
  <si>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</si>
  <si>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</si>
  <si>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</si>
  <si>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задвиж,вентил,радиаторов)</t>
  </si>
  <si>
    <t>Электромонтажные работы</t>
  </si>
  <si>
    <t>Ремонт  замена и госповерка водом,теплосчет устан. водомер узлов</t>
  </si>
  <si>
    <t xml:space="preserve">         в т.ч.госповерка водосчетчиков УЖХ</t>
  </si>
  <si>
    <t>Ремонт и обслуживание системы АППЗ и ДУ</t>
  </si>
  <si>
    <t>Замер сопротивления изоляции электропроводки</t>
  </si>
  <si>
    <t>Содержание и обслуживание повышающей насосной станции</t>
  </si>
  <si>
    <t>Установка повысительного насоса</t>
  </si>
  <si>
    <t>СМР по замене силового кабеля от ВРУ до машинного помещения</t>
  </si>
  <si>
    <t>Замена редукторной лебедки лифта</t>
  </si>
  <si>
    <t>Замена вычислителей количества теплоты</t>
  </si>
  <si>
    <t>Ремонт приборов учета ТЭ</t>
  </si>
  <si>
    <t>Госповерка приборов учета ТЭ</t>
  </si>
  <si>
    <t>Установка коммерческого узла учета ТЭ</t>
  </si>
  <si>
    <t>Проект "Монтаж узла коммерческого учета ТЭ"</t>
  </si>
  <si>
    <t>Ремонтные работы ИТП</t>
  </si>
  <si>
    <t>Обслуживание ИТП</t>
  </si>
  <si>
    <t>Техническое обслуживание узлов автоматического регулирования</t>
  </si>
  <si>
    <t>Техническое обслуживание приборов учета тепловой энергии</t>
  </si>
  <si>
    <t>г) Аварийно- ремонтная служба</t>
  </si>
  <si>
    <t>Внешнее благоустройство</t>
  </si>
  <si>
    <t>Благоустройство (ремонт и устан,ограждений,скамеек,урн,контейнеров)</t>
  </si>
  <si>
    <t>Кронирование деревьев, вырезка сухих ветвей</t>
  </si>
  <si>
    <t xml:space="preserve">Ямочный ремонт асф.покрытия, бордюров, отмостков </t>
  </si>
  <si>
    <t>Обслуживание ВДГО</t>
  </si>
  <si>
    <t>Техническое обслуживание лифтов</t>
  </si>
  <si>
    <t>Освидетельствование лифтов</t>
  </si>
  <si>
    <t>количество лифтов</t>
  </si>
  <si>
    <t>тариф на освидетельствование 1 лифта</t>
  </si>
  <si>
    <t>Обслуживание ОДС</t>
  </si>
  <si>
    <t>количество сигналов</t>
  </si>
  <si>
    <t>тариф на 1 сигнал</t>
  </si>
  <si>
    <t>Тех.обследование лифтов</t>
  </si>
  <si>
    <t>Страхование лифта</t>
  </si>
  <si>
    <t>Общехозяйственные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</si>
  <si>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</si>
  <si>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</si>
  <si>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</si>
  <si>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Контролеры</t>
  </si>
  <si>
    <t>Итого расходов</t>
  </si>
  <si>
    <t>Прочие расходы (услуги банка и т.д.)</t>
  </si>
  <si>
    <t>Всего расходов</t>
  </si>
  <si>
    <t>НДС 18%</t>
  </si>
  <si>
    <t>Всего с учетом НДС</t>
  </si>
  <si>
    <t>Откл.(перерасход (-), неосвоение (+) за 2011г.)</t>
  </si>
  <si>
    <t>Откл.(перерасход (-), неосвоение (+) за 2012г.)</t>
  </si>
  <si>
    <t>Управляющая компания</t>
  </si>
  <si>
    <t>Директор ОАО УЖХ Советского района городского округа г.Уфы РБ</t>
  </si>
  <si>
    <t>Гареев А.Ф.</t>
  </si>
  <si>
    <t>Обслуживающая организация</t>
  </si>
  <si>
    <t xml:space="preserve">Директор ООО «ЖЭУ №10»:                                         </t>
  </si>
  <si>
    <t>Сафиуллин Т.Г.</t>
  </si>
  <si>
    <t>Утвержден Решением собрания собственников №____от______</t>
  </si>
  <si>
    <t>Справочно:Денежные средства на сумму 83894руб.освоены авансом за счет 2 полуг. 2010года.</t>
  </si>
  <si>
    <t>Справочно: Создан резервный фонд в сумме       на 2011год на ремот кровли</t>
  </si>
  <si>
    <t>В ближайшие 2 года будут производиться только работы  первой необходимости.</t>
  </si>
  <si>
    <t>К-т качества двор</t>
  </si>
  <si>
    <t>К-т качества м/провод</t>
  </si>
  <si>
    <t>К-т качества л/клетка</t>
  </si>
  <si>
    <t>К-во месяцев</t>
  </si>
  <si>
    <t>наша сумма за - НРиТР</t>
  </si>
  <si>
    <t>уд.вес соб затр в общ затр.</t>
  </si>
  <si>
    <t xml:space="preserve">     стоимости работ по содержанию и ремонту общедомового имущества</t>
  </si>
  <si>
    <t>за 2012год.</t>
  </si>
  <si>
    <t>Адрес:</t>
  </si>
  <si>
    <t xml:space="preserve">Статьи доходов </t>
  </si>
  <si>
    <t>Сумма, руб.</t>
  </si>
  <si>
    <t>Сальдо на 01.01.2012г.</t>
  </si>
  <si>
    <t>1. Расходы по текущему ремонту и набору работ</t>
  </si>
  <si>
    <t>Ремонт кровли</t>
  </si>
  <si>
    <t>Общестр.работы (рем.мет парапет решеток, м/пров клапанов)</t>
  </si>
  <si>
    <t>Плотницкие работы (смена стекол,ремонт окон,дверей,смена пружин,замков,петель, устан почт ящиков)</t>
  </si>
  <si>
    <t>Смена труб, вентилей, сгонов,задвижек, устранение аварии на т/пров</t>
  </si>
  <si>
    <t>Подг.к зиме:(промыв,опрес сист.ЦО)</t>
  </si>
  <si>
    <t>Ремонт  замена и госповерка водомеров</t>
  </si>
  <si>
    <t>Благоустройство (ремонт и покраска ограждений,скамеек,урн,контейнеров,дет оборуд.)</t>
  </si>
  <si>
    <t>Кронирование деревьев,вырезка сухих ветвей</t>
  </si>
  <si>
    <t>2.Расходы по техническому обслуживанию конструктивных элементов и инженерного оборудования</t>
  </si>
  <si>
    <t>3. Расходы по содержанию домового хозяйства и придомовой территории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</si>
  <si>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</si>
  <si>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</si>
  <si>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</si>
  <si>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</si>
  <si>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 xml:space="preserve"> - затраты по содержанию лифтов:</t>
  </si>
  <si>
    <t xml:space="preserve">       - техническое обслуживание лифтов</t>
  </si>
  <si>
    <t xml:space="preserve">       - освидетельствование лифтов</t>
  </si>
  <si>
    <t xml:space="preserve">       - страхование лифтов</t>
  </si>
  <si>
    <t>3.2. Услуги жилищных предприятий</t>
  </si>
  <si>
    <t xml:space="preserve">  - Уборка придомовой территории</t>
  </si>
  <si>
    <t xml:space="preserve">  - Уборка мусоропровода </t>
  </si>
  <si>
    <t xml:space="preserve"> - Уборка лестничных клеток</t>
  </si>
  <si>
    <t xml:space="preserve"> - Вывоз крупногабаритного мусора</t>
  </si>
  <si>
    <t>4. Общехозяйственные расходы</t>
  </si>
  <si>
    <t>5. Расходы по начислению и сбору платежей за ЖКУ, управлению жилищным фондом:</t>
  </si>
  <si>
    <t xml:space="preserve">  Обьединенная диспетчерская служба</t>
  </si>
  <si>
    <t xml:space="preserve">  Услуги контролеров</t>
  </si>
  <si>
    <t xml:space="preserve">  Услуги управляющей компании</t>
  </si>
  <si>
    <t xml:space="preserve">  Услуги ЕРКЦ и МУП УЖХ</t>
  </si>
  <si>
    <t>6. Прочие расходы (услуги банка и т.д.)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</si>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</sst>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_(* #,##0.00_);_(* \(#,##0.00\);_(* \-??_);_(@_)"/>
    <numFmt numFmtId="186" formatCode="mm/yy"/>
    <numFmt numFmtId="187" formatCode="0.00000000"/>
    <numFmt numFmtId="188" formatCode="0.0000000"/>
  </numFmts>
  <fonts count="1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4" fillId="0" borderId="0" xfId="18" applyFont="1" applyAlignment="1">
      <alignment vertical="top" wrapText="1"/>
      <protection/>
    </xf>
    <xf numFmtId="0" fontId="3" fillId="0" borderId="0" xfId="18" applyFont="1" applyAlignment="1">
      <alignment horizontal="left"/>
      <protection/>
    </xf>
    <xf numFmtId="0" fontId="5" fillId="0" borderId="0" xfId="18" applyFont="1" applyBorder="1" applyAlignment="1">
      <alignment horizontal="center" vertical="top" wrapText="1"/>
      <protection/>
    </xf>
    <xf numFmtId="0" fontId="3" fillId="0" borderId="1" xfId="18" applyFont="1" applyBorder="1" applyAlignment="1">
      <alignment/>
      <protection/>
    </xf>
    <xf numFmtId="0" fontId="3" fillId="0" borderId="1" xfId="18" applyFont="1" applyFill="1" applyBorder="1" applyAlignment="1">
      <alignment/>
      <protection/>
    </xf>
    <xf numFmtId="0" fontId="4" fillId="0" borderId="1" xfId="18" applyFont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center"/>
      <protection/>
    </xf>
    <xf numFmtId="0" fontId="4" fillId="0" borderId="1" xfId="18" applyFont="1" applyBorder="1">
      <alignment/>
      <protection/>
    </xf>
    <xf numFmtId="180" fontId="4" fillId="0" borderId="1" xfId="18" applyNumberFormat="1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vertical="top" wrapText="1"/>
      <protection/>
    </xf>
    <xf numFmtId="0" fontId="6" fillId="0" borderId="1" xfId="18" applyNumberFormat="1" applyFont="1" applyBorder="1" applyAlignment="1">
      <alignment horizontal="center"/>
      <protection/>
    </xf>
    <xf numFmtId="180" fontId="4" fillId="0" borderId="0" xfId="18" applyNumberFormat="1" applyFont="1" applyAlignment="1">
      <alignment vertical="top" wrapText="1"/>
      <protection/>
    </xf>
    <xf numFmtId="1" fontId="4" fillId="0" borderId="1" xfId="18" applyNumberFormat="1" applyFont="1" applyBorder="1" applyAlignment="1">
      <alignment horizontal="center" vertical="top" wrapText="1"/>
      <protection/>
    </xf>
    <xf numFmtId="0" fontId="4" fillId="0" borderId="1" xfId="18" applyFont="1" applyFill="1" applyBorder="1" applyAlignment="1">
      <alignment horizontal="center" vertical="top" wrapText="1"/>
      <protection/>
    </xf>
    <xf numFmtId="0" fontId="4" fillId="0" borderId="1" xfId="18" applyFont="1" applyFill="1" applyBorder="1" applyAlignment="1">
      <alignment horizontal="left" vertical="top" wrapText="1"/>
      <protection/>
    </xf>
    <xf numFmtId="0" fontId="4" fillId="2" borderId="0" xfId="18" applyFont="1" applyFill="1" applyAlignment="1">
      <alignment vertical="top" wrapText="1"/>
      <protection/>
    </xf>
    <xf numFmtId="0" fontId="7" fillId="0" borderId="1" xfId="18" applyFont="1" applyBorder="1" applyAlignment="1">
      <alignment horizontal="center" vertical="top" wrapText="1"/>
      <protection/>
    </xf>
    <xf numFmtId="0" fontId="7" fillId="3" borderId="1" xfId="18" applyFont="1" applyFill="1" applyBorder="1" applyAlignment="1">
      <alignment horizontal="left" vertical="top" wrapText="1"/>
      <protection/>
    </xf>
    <xf numFmtId="0" fontId="3" fillId="3" borderId="1" xfId="18" applyFont="1" applyFill="1" applyBorder="1" applyAlignment="1">
      <alignment horizontal="left" vertical="top" wrapText="1"/>
      <protection/>
    </xf>
    <xf numFmtId="1" fontId="5" fillId="0" borderId="1" xfId="18" applyNumberFormat="1" applyFont="1" applyFill="1" applyBorder="1" applyAlignment="1">
      <alignment horizontal="center" vertical="top" wrapText="1"/>
      <protection/>
    </xf>
    <xf numFmtId="1" fontId="3" fillId="0" borderId="1" xfId="18" applyNumberFormat="1" applyFont="1" applyFill="1" applyBorder="1" applyAlignment="1">
      <alignment/>
      <protection/>
    </xf>
    <xf numFmtId="1" fontId="5" fillId="0" borderId="1" xfId="18" applyNumberFormat="1" applyFont="1" applyBorder="1" applyAlignment="1">
      <alignment horizontal="center" vertical="top" wrapText="1"/>
      <protection/>
    </xf>
    <xf numFmtId="1" fontId="4" fillId="0" borderId="0" xfId="18" applyNumberFormat="1" applyFont="1" applyAlignment="1">
      <alignment vertical="top" wrapText="1"/>
      <protection/>
    </xf>
    <xf numFmtId="1" fontId="8" fillId="0" borderId="0" xfId="18" applyNumberFormat="1" applyFont="1" applyAlignment="1">
      <alignment vertical="top" wrapText="1"/>
      <protection/>
    </xf>
    <xf numFmtId="0" fontId="9" fillId="0" borderId="1" xfId="18" applyFont="1" applyBorder="1" applyAlignment="1">
      <alignment horizontal="left" vertical="top" wrapText="1"/>
      <protection/>
    </xf>
    <xf numFmtId="0" fontId="9" fillId="0" borderId="1" xfId="18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/>
      <protection/>
    </xf>
    <xf numFmtId="1" fontId="3" fillId="0" borderId="1" xfId="18" applyNumberFormat="1" applyFont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1" fontId="10" fillId="0" borderId="1" xfId="18" applyNumberFormat="1" applyFont="1" applyBorder="1" applyAlignment="1">
      <alignment horizontal="center"/>
      <protection/>
    </xf>
    <xf numFmtId="0" fontId="0" fillId="0" borderId="1" xfId="18" applyBorder="1">
      <alignment/>
      <protection/>
    </xf>
    <xf numFmtId="0" fontId="0" fillId="0" borderId="1" xfId="18" applyBorder="1" applyAlignment="1">
      <alignment horizontal="right"/>
      <protection/>
    </xf>
    <xf numFmtId="180" fontId="0" fillId="0" borderId="1" xfId="18" applyNumberFormat="1" applyBorder="1" applyAlignment="1">
      <alignment horizontal="right"/>
      <protection/>
    </xf>
    <xf numFmtId="1" fontId="0" fillId="0" borderId="1" xfId="18" applyNumberFormat="1" applyFont="1" applyBorder="1" applyAlignment="1">
      <alignment horizontal="right" vertical="top" wrapText="1"/>
      <protection/>
    </xf>
    <xf numFmtId="0" fontId="0" fillId="4" borderId="1" xfId="18" applyFill="1" applyBorder="1">
      <alignment/>
      <protection/>
    </xf>
    <xf numFmtId="1" fontId="0" fillId="0" borderId="1" xfId="18" applyNumberFormat="1" applyBorder="1" applyAlignment="1">
      <alignment horizontal="right"/>
      <protection/>
    </xf>
    <xf numFmtId="0" fontId="10" fillId="0" borderId="1" xfId="18" applyFont="1" applyBorder="1">
      <alignment/>
      <protection/>
    </xf>
    <xf numFmtId="1" fontId="0" fillId="0" borderId="1" xfId="18" applyNumberFormat="1" applyFont="1" applyBorder="1" applyAlignment="1">
      <alignment horizontal="center"/>
      <protection/>
    </xf>
    <xf numFmtId="0" fontId="10" fillId="0" borderId="1" xfId="18" applyFont="1" applyBorder="1" applyAlignment="1">
      <alignment horizontal="left"/>
      <protection/>
    </xf>
    <xf numFmtId="2" fontId="0" fillId="0" borderId="1" xfId="18" applyNumberFormat="1" applyBorder="1" applyAlignment="1">
      <alignment horizontal="right"/>
      <protection/>
    </xf>
    <xf numFmtId="0" fontId="0" fillId="0" borderId="1" xfId="18" applyBorder="1" applyAlignment="1">
      <alignment horizontal="left"/>
      <protection/>
    </xf>
    <xf numFmtId="181" fontId="0" fillId="0" borderId="1" xfId="18" applyNumberFormat="1" applyBorder="1" applyAlignment="1">
      <alignment horizontal="right"/>
      <protection/>
    </xf>
    <xf numFmtId="0" fontId="0" fillId="0" borderId="1" xfId="18" applyBorder="1" applyAlignment="1">
      <alignment horizontal="center"/>
      <protection/>
    </xf>
    <xf numFmtId="0" fontId="10" fillId="0" borderId="1" xfId="18" applyFont="1" applyFill="1" applyBorder="1">
      <alignment/>
      <protection/>
    </xf>
    <xf numFmtId="0" fontId="3" fillId="0" borderId="1" xfId="18" applyFont="1" applyBorder="1" applyAlignment="1">
      <alignment vertical="top" wrapText="1"/>
      <protection/>
    </xf>
    <xf numFmtId="2" fontId="11" fillId="0" borderId="0" xfId="18" applyNumberFormat="1" applyFont="1" applyAlignment="1">
      <alignment vertical="top" wrapText="1"/>
      <protection/>
    </xf>
    <xf numFmtId="0" fontId="11" fillId="0" borderId="0" xfId="18" applyFont="1" applyAlignment="1">
      <alignment vertical="top" wrapText="1"/>
      <protection/>
    </xf>
    <xf numFmtId="0" fontId="12" fillId="5" borderId="1" xfId="18" applyFont="1" applyFill="1" applyBorder="1" applyAlignment="1">
      <alignment horizontal="left"/>
      <protection/>
    </xf>
    <xf numFmtId="0" fontId="0" fillId="0" borderId="1" xfId="18" applyBorder="1">
      <alignment/>
      <protection/>
    </xf>
    <xf numFmtId="0" fontId="4" fillId="0" borderId="0" xfId="18" applyFont="1" applyAlignment="1">
      <alignment horizontal="right" vertical="top" wrapText="1"/>
      <protection/>
    </xf>
    <xf numFmtId="0" fontId="12" fillId="0" borderId="1" xfId="18" applyFont="1" applyFill="1" applyBorder="1" applyAlignment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12" fillId="5" borderId="1" xfId="18" applyFont="1" applyFill="1" applyBorder="1" applyAlignment="1">
      <alignment horizontal="left" vertical="center"/>
      <protection/>
    </xf>
    <xf numFmtId="2" fontId="4" fillId="0" borderId="0" xfId="18" applyNumberFormat="1" applyFont="1" applyAlignment="1">
      <alignment vertical="top" wrapText="1"/>
      <protection/>
    </xf>
    <xf numFmtId="1" fontId="0" fillId="0" borderId="1" xfId="18" applyNumberFormat="1" applyBorder="1">
      <alignment/>
      <protection/>
    </xf>
    <xf numFmtId="2" fontId="4" fillId="0" borderId="0" xfId="18" applyNumberFormat="1" applyFont="1" applyAlignment="1">
      <alignment horizontal="right" vertical="top" wrapText="1"/>
      <protection/>
    </xf>
    <xf numFmtId="1" fontId="4" fillId="2" borderId="0" xfId="18" applyNumberFormat="1" applyFont="1" applyFill="1" applyAlignment="1">
      <alignment vertical="top" wrapText="1"/>
      <protection/>
    </xf>
    <xf numFmtId="0" fontId="6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>
      <alignment/>
      <protection/>
    </xf>
    <xf numFmtId="1" fontId="4" fillId="0" borderId="0" xfId="18" applyNumberFormat="1" applyFont="1" applyAlignment="1">
      <alignment horizontal="right" vertical="top" wrapText="1"/>
      <protection/>
    </xf>
    <xf numFmtId="0" fontId="3" fillId="0" borderId="1" xfId="18" applyFont="1" applyBorder="1" applyAlignment="1">
      <alignment horizontal="left"/>
      <protection/>
    </xf>
    <xf numFmtId="1" fontId="4" fillId="0" borderId="1" xfId="18" applyNumberFormat="1" applyFont="1" applyBorder="1" applyAlignment="1">
      <alignment horizontal="right" vertical="top" wrapText="1"/>
      <protection/>
    </xf>
    <xf numFmtId="0" fontId="0" fillId="5" borderId="1" xfId="18" applyFont="1" applyFill="1" applyBorder="1">
      <alignment/>
      <protection/>
    </xf>
    <xf numFmtId="0" fontId="4" fillId="0" borderId="1" xfId="18" applyFont="1" applyBorder="1" applyAlignment="1">
      <alignment horizontal="right" vertical="top" wrapText="1"/>
      <protection/>
    </xf>
    <xf numFmtId="0" fontId="3" fillId="0" borderId="1" xfId="18" applyFont="1" applyBorder="1">
      <alignment/>
      <protection/>
    </xf>
    <xf numFmtId="0" fontId="4" fillId="0" borderId="0" xfId="18" applyFont="1" applyFill="1" applyAlignment="1">
      <alignment vertical="top" wrapText="1"/>
      <protection/>
    </xf>
    <xf numFmtId="0" fontId="6" fillId="0" borderId="1" xfId="18" applyNumberFormat="1" applyFont="1" applyBorder="1" applyAlignment="1">
      <alignment horizontal="right"/>
      <protection/>
    </xf>
    <xf numFmtId="0" fontId="4" fillId="0" borderId="0" xfId="18" applyFont="1" applyFill="1" applyAlignment="1">
      <alignment horizontal="right" vertical="top" wrapText="1"/>
      <protection/>
    </xf>
    <xf numFmtId="1" fontId="4" fillId="0" borderId="1" xfId="18" applyNumberFormat="1" applyFont="1" applyFill="1" applyBorder="1" applyAlignment="1">
      <alignment horizontal="right" vertical="top" wrapText="1"/>
      <protection/>
    </xf>
    <xf numFmtId="0" fontId="0" fillId="0" borderId="1" xfId="18" applyFont="1" applyBorder="1" applyAlignment="1">
      <alignment horizontal="right"/>
      <protection/>
    </xf>
    <xf numFmtId="1" fontId="0" fillId="0" borderId="1" xfId="18" applyNumberFormat="1" applyBorder="1" applyAlignment="1">
      <alignment horizontal="center"/>
      <protection/>
    </xf>
    <xf numFmtId="180" fontId="4" fillId="0" borderId="0" xfId="18" applyNumberFormat="1" applyFont="1" applyFill="1" applyAlignment="1">
      <alignment vertical="top" wrapText="1"/>
      <protection/>
    </xf>
    <xf numFmtId="1" fontId="4" fillId="0" borderId="0" xfId="18" applyNumberFormat="1" applyFont="1" applyFill="1" applyAlignment="1">
      <alignment vertical="top" wrapText="1"/>
      <protection/>
    </xf>
    <xf numFmtId="2" fontId="4" fillId="0" borderId="0" xfId="18" applyNumberFormat="1" applyFont="1" applyFill="1" applyAlignment="1">
      <alignment vertical="top" wrapText="1"/>
      <protection/>
    </xf>
    <xf numFmtId="0" fontId="3" fillId="3" borderId="1" xfId="18" applyFont="1" applyFill="1" applyBorder="1">
      <alignment/>
      <protection/>
    </xf>
    <xf numFmtId="0" fontId="3" fillId="4" borderId="0" xfId="18" applyFont="1" applyFill="1" applyBorder="1">
      <alignment/>
      <protection/>
    </xf>
    <xf numFmtId="1" fontId="13" fillId="0" borderId="0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left" vertical="top" wrapText="1"/>
      <protection/>
    </xf>
    <xf numFmtId="0" fontId="14" fillId="0" borderId="0" xfId="18" applyFont="1" applyBorder="1" applyAlignment="1">
      <alignment horizontal="left" vertical="top" wrapText="1"/>
      <protection/>
    </xf>
    <xf numFmtId="0" fontId="15" fillId="0" borderId="0" xfId="18" applyFont="1" applyBorder="1" applyAlignment="1">
      <alignment horizontal="left" vertical="top" wrapText="1"/>
      <protection/>
    </xf>
    <xf numFmtId="0" fontId="15" fillId="0" borderId="0" xfId="18" applyFont="1" applyBorder="1" applyAlignment="1">
      <alignment vertical="top" wrapText="1"/>
      <protection/>
    </xf>
    <xf numFmtId="0" fontId="5" fillId="0" borderId="0" xfId="18" applyFont="1" applyBorder="1" applyAlignment="1">
      <alignment vertical="top" wrapText="1"/>
      <protection/>
    </xf>
    <xf numFmtId="0" fontId="4" fillId="0" borderId="0" xfId="18" applyFont="1" applyBorder="1" applyAlignment="1">
      <alignment vertical="top" wrapText="1"/>
      <protection/>
    </xf>
    <xf numFmtId="181" fontId="0" fillId="0" borderId="1" xfId="18" applyNumberFormat="1" applyFont="1" applyFill="1" applyBorder="1" applyAlignment="1">
      <alignment horizontal="center"/>
      <protection/>
    </xf>
    <xf numFmtId="181" fontId="4" fillId="0" borderId="1" xfId="18" applyNumberFormat="1" applyFont="1" applyFill="1" applyBorder="1" applyAlignment="1">
      <alignment vertical="top" wrapText="1"/>
      <protection/>
    </xf>
    <xf numFmtId="1" fontId="4" fillId="0" borderId="0" xfId="18" applyNumberFormat="1" applyFont="1" applyAlignment="1">
      <alignment horizontal="center" vertical="top" wrapText="1"/>
      <protection/>
    </xf>
    <xf numFmtId="1" fontId="4" fillId="0" borderId="1" xfId="18" applyNumberFormat="1" applyFont="1" applyFill="1" applyBorder="1" applyAlignment="1">
      <alignment vertical="top" wrapText="1"/>
      <protection/>
    </xf>
    <xf numFmtId="184" fontId="4" fillId="0" borderId="1" xfId="18" applyNumberFormat="1" applyFont="1" applyFill="1" applyBorder="1" applyAlignment="1">
      <alignment vertical="top" wrapText="1"/>
      <protection/>
    </xf>
    <xf numFmtId="2" fontId="4" fillId="0" borderId="0" xfId="18" applyNumberFormat="1" applyFont="1" applyAlignment="1">
      <alignment horizontal="center" vertical="top" wrapText="1"/>
      <protection/>
    </xf>
    <xf numFmtId="0" fontId="5" fillId="0" borderId="0" xfId="18" applyFont="1" applyAlignment="1">
      <alignment horizontal="center" vertical="top" wrapText="1"/>
      <protection/>
    </xf>
    <xf numFmtId="0" fontId="14" fillId="0" borderId="0" xfId="18" applyFont="1" applyAlignment="1">
      <alignment vertical="top" wrapText="1"/>
      <protection/>
    </xf>
    <xf numFmtId="0" fontId="14" fillId="0" borderId="0" xfId="18" applyFont="1" applyAlignment="1">
      <alignment horizontal="center" vertical="top" wrapText="1"/>
      <protection/>
    </xf>
    <xf numFmtId="0" fontId="15" fillId="0" borderId="1" xfId="18" applyFont="1" applyBorder="1" applyAlignment="1">
      <alignment vertical="top" wrapText="1"/>
      <protection/>
    </xf>
    <xf numFmtId="0" fontId="16" fillId="0" borderId="1" xfId="18" applyFont="1" applyBorder="1" applyAlignment="1">
      <alignment horizontal="center" vertical="top" wrapText="1"/>
      <protection/>
    </xf>
    <xf numFmtId="0" fontId="9" fillId="0" borderId="1" xfId="18" applyFont="1" applyFill="1" applyBorder="1" applyAlignment="1">
      <alignment horizontal="center"/>
      <protection/>
    </xf>
    <xf numFmtId="1" fontId="7" fillId="0" borderId="1" xfId="18" applyNumberFormat="1" applyFont="1" applyBorder="1" applyAlignment="1">
      <alignment horizontal="center" vertical="top" wrapText="1"/>
      <protection/>
    </xf>
    <xf numFmtId="0" fontId="9" fillId="0" borderId="1" xfId="18" applyFont="1" applyBorder="1" applyAlignment="1">
      <alignment horizontal="left" vertical="center"/>
      <protection/>
    </xf>
    <xf numFmtId="0" fontId="14" fillId="0" borderId="1" xfId="18" applyFont="1" applyBorder="1" applyAlignment="1">
      <alignment vertical="top" wrapText="1"/>
      <protection/>
    </xf>
    <xf numFmtId="0" fontId="17" fillId="0" borderId="1" xfId="18" applyFont="1" applyBorder="1" applyAlignment="1">
      <alignment vertical="top" wrapText="1"/>
      <protection/>
    </xf>
    <xf numFmtId="1" fontId="18" fillId="0" borderId="1" xfId="18" applyNumberFormat="1" applyFont="1" applyBorder="1" applyAlignment="1">
      <alignment horizontal="center" vertical="top" wrapText="1"/>
      <protection/>
    </xf>
    <xf numFmtId="0" fontId="17" fillId="0" borderId="1" xfId="18" applyFont="1" applyFill="1" applyBorder="1" applyAlignment="1">
      <alignment horizontal="left" vertical="top" wrapText="1"/>
      <protection/>
    </xf>
    <xf numFmtId="1" fontId="18" fillId="0" borderId="1" xfId="18" applyNumberFormat="1" applyFont="1" applyFill="1" applyBorder="1" applyAlignment="1">
      <alignment horizontal="center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1" fontId="4" fillId="0" borderId="1" xfId="18" applyNumberFormat="1" applyFont="1" applyFill="1" applyBorder="1" applyAlignment="1">
      <alignment horizontal="center" vertical="top" wrapText="1"/>
      <protection/>
    </xf>
    <xf numFmtId="0" fontId="10" fillId="0" borderId="1" xfId="18" applyFont="1" applyFill="1" applyBorder="1" applyAlignment="1">
      <alignment horizontal="lef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авлетш 2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7;&#1086;&#1076;&#1086;&#1084;&#1086;&#1074;&#1086;&#1081;%20&#1046;&#1069;&#1059;%2010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86;&#1080;%20&#1076;&#1086;&#1082;&#1091;&#1084;&#1077;&#1085;&#1090;&#1099;\&#1052;&#1086;&#1080;%20&#1076;&#1086;&#1082;&#1091;&#1084;&#1077;&#1085;&#1090;&#1099;%20&#1069;&#1082;&#1086;&#1085;&#1086;&#1084;&#1080;&#1089;&#1090;\&#1069;&#1082;&#1086;&#1085;&#1086;&#1084;&#1080;&#1089;&#1090;\&#1044;&#1086;&#1084;&#1086;&#1074;&#1086;&#1081;%20&#1091;&#1095;&#1077;&#1090;\2011%20&#1092;&#1072;&#1082;&#1090;\2011%20&#1043;&#1054;&#1058;&#1054;&#1042;&#1067;&#1049;%20&#1080;&#1089;&#1087;&#1088;&#1072;&#1074;&#1083;&#1077;&#1085;&#1085;&#1099;&#1081;%20&#1089;%20&#1092;&#1086;&#1088;&#1084;&#1091;&#1083;&#1072;&#1084;&#1080;%2021.02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0"/>
      <sheetName val="год"/>
      <sheetName val="4кв"/>
      <sheetName val="дек"/>
      <sheetName val="нояб"/>
      <sheetName val="окт"/>
      <sheetName val="9мес"/>
      <sheetName val="3кв"/>
      <sheetName val="сент"/>
      <sheetName val="авг"/>
      <sheetName val="июль"/>
      <sheetName val="Полуг"/>
      <sheetName val="2кв"/>
      <sheetName val="июнь"/>
      <sheetName val="май"/>
      <sheetName val="апр"/>
      <sheetName val="1кв"/>
      <sheetName val="март"/>
      <sheetName val="фев"/>
      <sheetName val="янв"/>
      <sheetName val="верт"/>
      <sheetName val="__VBA__0"/>
    </sheetNames>
    <sheetDataSet>
      <sheetData sheetId="1">
        <row r="31">
          <cell r="AZ31">
            <v>30.795545930781174</v>
          </cell>
        </row>
        <row r="32">
          <cell r="AZ32">
            <v>2415.08986353584</v>
          </cell>
        </row>
      </sheetData>
      <sheetData sheetId="2">
        <row r="5">
          <cell r="AZ5">
            <v>0</v>
          </cell>
        </row>
        <row r="6">
          <cell r="AZ6">
            <v>0</v>
          </cell>
        </row>
        <row r="7">
          <cell r="AZ7">
            <v>0</v>
          </cell>
        </row>
        <row r="8">
          <cell r="AZ8">
            <v>0</v>
          </cell>
        </row>
        <row r="9">
          <cell r="AZ9">
            <v>0</v>
          </cell>
        </row>
        <row r="10">
          <cell r="AZ10">
            <v>0</v>
          </cell>
        </row>
        <row r="11">
          <cell r="AZ11">
            <v>0</v>
          </cell>
        </row>
        <row r="13">
          <cell r="AZ13">
            <v>0</v>
          </cell>
        </row>
        <row r="14">
          <cell r="AZ14">
            <v>0</v>
          </cell>
        </row>
        <row r="15">
          <cell r="AZ15">
            <v>0</v>
          </cell>
        </row>
        <row r="16">
          <cell r="AZ16">
            <v>0</v>
          </cell>
        </row>
        <row r="18">
          <cell r="AZ18">
            <v>631.2033898305085</v>
          </cell>
        </row>
        <row r="19">
          <cell r="AZ19">
            <v>431.9406779661017</v>
          </cell>
        </row>
        <row r="20">
          <cell r="AZ20">
            <v>0</v>
          </cell>
        </row>
        <row r="21">
          <cell r="AZ21">
            <v>6169.177966101695</v>
          </cell>
        </row>
        <row r="22">
          <cell r="AZ22">
            <v>0</v>
          </cell>
        </row>
        <row r="23">
          <cell r="AZ23">
            <v>0</v>
          </cell>
        </row>
        <row r="24">
          <cell r="AZ24">
            <v>0</v>
          </cell>
        </row>
        <row r="25">
          <cell r="AZ25">
            <v>0</v>
          </cell>
        </row>
        <row r="26">
          <cell r="AZ26">
            <v>23672.49152542373</v>
          </cell>
        </row>
        <row r="27">
          <cell r="AZ27">
            <v>0</v>
          </cell>
        </row>
        <row r="28">
          <cell r="AZ28">
            <v>0</v>
          </cell>
        </row>
        <row r="29">
          <cell r="AZ29">
            <v>0</v>
          </cell>
        </row>
        <row r="33">
          <cell r="AZ33">
            <v>0</v>
          </cell>
        </row>
        <row r="36">
          <cell r="AZ36">
            <v>33.38983758096021</v>
          </cell>
        </row>
        <row r="37">
          <cell r="AZ37">
            <v>2772.72222498067</v>
          </cell>
        </row>
        <row r="38">
          <cell r="AZ38">
            <v>125.86015538290789</v>
          </cell>
        </row>
        <row r="40">
          <cell r="AZ40">
            <v>19497.0593220339</v>
          </cell>
        </row>
        <row r="41">
          <cell r="AZ41">
            <v>0</v>
          </cell>
        </row>
        <row r="42">
          <cell r="AZ42">
            <v>0</v>
          </cell>
        </row>
        <row r="43">
          <cell r="AZ43">
            <v>0</v>
          </cell>
        </row>
        <row r="44">
          <cell r="AZ44">
            <v>0</v>
          </cell>
        </row>
        <row r="46">
          <cell r="AZ46">
            <v>34.60502744063614</v>
          </cell>
        </row>
        <row r="47">
          <cell r="AZ47">
            <v>2873.6326868337674</v>
          </cell>
        </row>
        <row r="48">
          <cell r="AZ48">
            <v>151.01814885734245</v>
          </cell>
        </row>
        <row r="50">
          <cell r="AZ50">
            <v>601.6525423728814</v>
          </cell>
        </row>
        <row r="51">
          <cell r="AZ51">
            <v>0</v>
          </cell>
        </row>
        <row r="52">
          <cell r="AZ52">
            <v>0</v>
          </cell>
        </row>
      </sheetData>
      <sheetData sheetId="6">
        <row r="5">
          <cell r="AZ5">
            <v>0</v>
          </cell>
        </row>
        <row r="6">
          <cell r="AZ6">
            <v>0</v>
          </cell>
        </row>
        <row r="7">
          <cell r="AZ7">
            <v>0</v>
          </cell>
        </row>
        <row r="8">
          <cell r="AZ8">
            <v>0</v>
          </cell>
        </row>
        <row r="9">
          <cell r="AZ9">
            <v>0</v>
          </cell>
        </row>
        <row r="10">
          <cell r="AZ10">
            <v>0</v>
          </cell>
        </row>
        <row r="11">
          <cell r="AZ11">
            <v>0</v>
          </cell>
        </row>
        <row r="13">
          <cell r="AZ13">
            <v>0</v>
          </cell>
        </row>
        <row r="14">
          <cell r="AZ14">
            <v>0</v>
          </cell>
        </row>
        <row r="15">
          <cell r="AZ15">
            <v>0</v>
          </cell>
        </row>
        <row r="16">
          <cell r="AZ16">
            <v>0</v>
          </cell>
        </row>
        <row r="18">
          <cell r="AZ18">
            <v>11088.5593220339</v>
          </cell>
        </row>
        <row r="19">
          <cell r="AZ19">
            <v>17052.398305084746</v>
          </cell>
        </row>
        <row r="20">
          <cell r="AZ20">
            <v>0</v>
          </cell>
        </row>
        <row r="21">
          <cell r="AZ21">
            <v>66503.92372881356</v>
          </cell>
        </row>
        <row r="22">
          <cell r="AZ22">
            <v>0</v>
          </cell>
        </row>
        <row r="23">
          <cell r="AZ23">
            <v>0</v>
          </cell>
        </row>
        <row r="24">
          <cell r="AZ24">
            <v>0</v>
          </cell>
        </row>
        <row r="25">
          <cell r="AZ25">
            <v>2692.3389830508477</v>
          </cell>
        </row>
        <row r="26">
          <cell r="AZ26">
            <v>23648.516949152545</v>
          </cell>
        </row>
        <row r="27">
          <cell r="AZ27">
            <v>0</v>
          </cell>
        </row>
        <row r="28">
          <cell r="AZ28">
            <v>0</v>
          </cell>
        </row>
        <row r="29">
          <cell r="AZ29">
            <v>17338.98305084746</v>
          </cell>
        </row>
        <row r="33">
          <cell r="AZ33">
            <v>0</v>
          </cell>
        </row>
        <row r="36">
          <cell r="AZ36">
            <v>82.7126924027813</v>
          </cell>
        </row>
        <row r="37">
          <cell r="AZ37">
            <v>6190.535157562102</v>
          </cell>
        </row>
        <row r="38">
          <cell r="AZ38">
            <v>330.1942528679924</v>
          </cell>
        </row>
        <row r="40">
          <cell r="AZ40">
            <v>18414.440677966104</v>
          </cell>
        </row>
        <row r="41">
          <cell r="AZ41">
            <v>0</v>
          </cell>
        </row>
        <row r="42">
          <cell r="AZ42">
            <v>34496.82203389831</v>
          </cell>
        </row>
        <row r="43">
          <cell r="AZ43">
            <v>9740.889830508475</v>
          </cell>
        </row>
        <row r="44">
          <cell r="AZ44">
            <v>6790.906779661017</v>
          </cell>
        </row>
        <row r="46">
          <cell r="AZ46">
            <v>120.9252340892223</v>
          </cell>
        </row>
        <row r="47">
          <cell r="AZ47">
            <v>9050.508347864947</v>
          </cell>
        </row>
        <row r="48">
          <cell r="AZ48">
            <v>108.15308167216118</v>
          </cell>
        </row>
        <row r="50">
          <cell r="AZ50">
            <v>22377.805084745763</v>
          </cell>
        </row>
        <row r="51">
          <cell r="AZ51">
            <v>728.1525423728814</v>
          </cell>
        </row>
        <row r="52">
          <cell r="AZ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ом учет_факт (короткая)"/>
    </sheetNames>
    <sheetDataSet>
      <sheetData sheetId="1">
        <row r="78">
          <cell r="AZ78">
            <v>22371.313621001318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workbookViewId="0" topLeftCell="A1">
      <pane xSplit="1" ySplit="4" topLeftCell="B2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2" sqref="A252:IV252"/>
    </sheetView>
  </sheetViews>
  <sheetFormatPr defaultColWidth="9.140625" defaultRowHeight="12.75"/>
  <cols>
    <col min="1" max="1" width="77.140625" style="2" customWidth="1"/>
    <col min="2" max="2" width="17.8515625" style="2" customWidth="1"/>
    <col min="3" max="3" width="15.28125" style="2" customWidth="1"/>
    <col min="4" max="4" width="18.140625" style="2" customWidth="1"/>
    <col min="5" max="16384" width="9.140625" style="2" customWidth="1"/>
  </cols>
  <sheetData>
    <row r="1" ht="12" customHeight="1" hidden="1">
      <c r="A1" s="1" t="s">
        <v>0</v>
      </c>
    </row>
    <row r="2" ht="14.25" customHeight="1" hidden="1">
      <c r="A2" s="3" t="s">
        <v>1</v>
      </c>
    </row>
    <row r="3" ht="12.75" customHeight="1" hidden="1">
      <c r="A3" s="4" t="s">
        <v>2</v>
      </c>
    </row>
    <row r="4" spans="1:2" ht="12.75" customHeight="1" hidden="1">
      <c r="A4" s="5" t="s">
        <v>3</v>
      </c>
      <c r="B4" s="6" t="s">
        <v>4</v>
      </c>
    </row>
    <row r="5" spans="1:2" ht="12.75" customHeight="1" hidden="1">
      <c r="A5" s="7" t="s">
        <v>5</v>
      </c>
      <c r="B5" s="8">
        <v>1982</v>
      </c>
    </row>
    <row r="6" spans="1:2" ht="12" customHeight="1" hidden="1">
      <c r="A6" s="9" t="s">
        <v>6</v>
      </c>
      <c r="B6" s="10">
        <v>3882.8</v>
      </c>
    </row>
    <row r="7" spans="1:2" ht="12" customHeight="1" hidden="1">
      <c r="A7" s="11" t="s">
        <v>7</v>
      </c>
      <c r="B7" s="10"/>
    </row>
    <row r="8" spans="1:2" ht="12" customHeight="1" hidden="1">
      <c r="A8" s="11" t="s">
        <v>8</v>
      </c>
      <c r="B8" s="10"/>
    </row>
    <row r="9" spans="1:2" ht="12.75" customHeight="1" hidden="1">
      <c r="A9" s="11" t="s">
        <v>9</v>
      </c>
      <c r="B9" s="10">
        <v>2604.4</v>
      </c>
    </row>
    <row r="10" spans="1:2" ht="12.75" customHeight="1" hidden="1">
      <c r="A10" s="11" t="s">
        <v>10</v>
      </c>
      <c r="B10" s="12">
        <v>9</v>
      </c>
    </row>
    <row r="11" spans="1:2" ht="12.75" customHeight="1" hidden="1">
      <c r="A11" s="11" t="s">
        <v>11</v>
      </c>
      <c r="B11" s="12">
        <v>2</v>
      </c>
    </row>
    <row r="12" spans="1:2" ht="12.75" customHeight="1" hidden="1">
      <c r="A12" s="11" t="s">
        <v>12</v>
      </c>
      <c r="B12" s="12">
        <v>727</v>
      </c>
    </row>
    <row r="13" spans="1:2" ht="12.75" customHeight="1" hidden="1">
      <c r="A13" s="11" t="s">
        <v>13</v>
      </c>
      <c r="B13" s="12">
        <v>150</v>
      </c>
    </row>
    <row r="14" spans="1:2" ht="13.5" customHeight="1" hidden="1">
      <c r="A14" s="11" t="s">
        <v>14</v>
      </c>
      <c r="B14" s="10">
        <f>B16+B17/3</f>
        <v>1984</v>
      </c>
    </row>
    <row r="15" spans="1:2" ht="13.5" customHeight="1" hidden="1">
      <c r="A15" s="11" t="s">
        <v>15</v>
      </c>
      <c r="B15" s="10">
        <f>B16+B17</f>
        <v>3334</v>
      </c>
    </row>
    <row r="16" spans="1:3" ht="12" customHeight="1" hidden="1">
      <c r="A16" s="11" t="s">
        <v>16</v>
      </c>
      <c r="B16" s="10">
        <v>1309</v>
      </c>
      <c r="C16" s="13" t="e">
        <f>#REF!+#REF!+#REF!+#REF!+#REF!+#REF!+#REF!+#REF!+#REF!+#REF!+#REF!+#REF!+#REF!+#REF!+#REF!+#REF!+#REF!+#REF!+#REF!+#REF!+#REF!+#REF!+#REF!+#REF!+#REF!+#REF!+#REF!+#REF!+#REF!+#REF!+#REF!+#REF!+#REF!+#REF!+#REF!</f>
        <v>#REF!</v>
      </c>
    </row>
    <row r="17" spans="1:2" ht="12" customHeight="1" hidden="1">
      <c r="A17" s="11" t="s">
        <v>17</v>
      </c>
      <c r="B17" s="10">
        <v>2025</v>
      </c>
    </row>
    <row r="18" spans="1:2" ht="12" customHeight="1" hidden="1">
      <c r="A18" s="11" t="s">
        <v>18</v>
      </c>
      <c r="B18" s="10">
        <v>637</v>
      </c>
    </row>
    <row r="19" spans="1:2" ht="12.75" customHeight="1" hidden="1">
      <c r="A19" s="11" t="s">
        <v>19</v>
      </c>
      <c r="B19" s="14">
        <v>72</v>
      </c>
    </row>
    <row r="20" spans="1:2" ht="12.75" customHeight="1" hidden="1">
      <c r="A20" s="11" t="s">
        <v>20</v>
      </c>
      <c r="B20" s="15">
        <v>183</v>
      </c>
    </row>
    <row r="21" spans="1:2" ht="12.75" customHeight="1" hidden="1">
      <c r="A21" s="11" t="s">
        <v>21</v>
      </c>
      <c r="B21" s="15"/>
    </row>
    <row r="22" spans="1:2" ht="12.75" customHeight="1" hidden="1">
      <c r="A22" s="11" t="s">
        <v>22</v>
      </c>
      <c r="B22" s="15"/>
    </row>
    <row r="23" spans="1:2" ht="12.75" customHeight="1" hidden="1">
      <c r="A23" s="11" t="s">
        <v>23</v>
      </c>
      <c r="B23" s="15"/>
    </row>
    <row r="24" spans="1:2" ht="12.75" customHeight="1" hidden="1">
      <c r="A24" s="11" t="s">
        <v>24</v>
      </c>
      <c r="B24" s="15">
        <v>2842</v>
      </c>
    </row>
    <row r="25" spans="1:2" ht="12.75" customHeight="1" hidden="1">
      <c r="A25" s="11" t="s">
        <v>25</v>
      </c>
      <c r="B25" s="15"/>
    </row>
    <row r="26" spans="1:2" ht="12.75" customHeight="1" hidden="1">
      <c r="A26" s="11" t="s">
        <v>26</v>
      </c>
      <c r="B26" s="15"/>
    </row>
    <row r="27" spans="1:2" ht="12.75" customHeight="1" hidden="1">
      <c r="A27" s="11" t="s">
        <v>27</v>
      </c>
      <c r="B27" s="15">
        <v>18</v>
      </c>
    </row>
    <row r="28" spans="1:8" ht="12.75" customHeight="1" hidden="1">
      <c r="A28" s="11" t="s">
        <v>28</v>
      </c>
      <c r="B28" s="16" t="s">
        <v>29</v>
      </c>
      <c r="H28" s="17"/>
    </row>
    <row r="29" spans="1:2" ht="12" customHeight="1" hidden="1">
      <c r="A29" s="18" t="s">
        <v>30</v>
      </c>
      <c r="B29" s="6"/>
    </row>
    <row r="30" spans="1:2" ht="12" customHeight="1" hidden="1">
      <c r="A30" s="19" t="s">
        <v>31</v>
      </c>
      <c r="B30" s="8">
        <v>14334</v>
      </c>
    </row>
    <row r="31" spans="1:2" ht="13.5" customHeight="1" hidden="1">
      <c r="A31" s="20" t="s">
        <v>32</v>
      </c>
      <c r="B31" s="21">
        <f>65715.9*6+72107.21*6</f>
        <v>826938.6599999999</v>
      </c>
    </row>
    <row r="32" spans="1:2" ht="13.5" customHeight="1" hidden="1">
      <c r="A32" s="20" t="s">
        <v>33</v>
      </c>
      <c r="B32" s="21">
        <f>57009.74+57118.37+76283.37+57798.55+67641.63+59804.62+59825.78+94779.55+65565.27+55826.63+82162.13+84445.34</f>
        <v>818260.98</v>
      </c>
    </row>
    <row r="33" spans="1:2" ht="13.5" customHeight="1" hidden="1">
      <c r="A33" s="20" t="s">
        <v>34</v>
      </c>
      <c r="B33" s="22">
        <v>21390.66</v>
      </c>
    </row>
    <row r="34" spans="1:2" ht="13.5" customHeight="1" hidden="1">
      <c r="A34" s="20" t="s">
        <v>35</v>
      </c>
      <c r="B34" s="22">
        <v>16490.68</v>
      </c>
    </row>
    <row r="35" spans="1:2" ht="13.5" customHeight="1" hidden="1">
      <c r="A35" s="20" t="s">
        <v>36</v>
      </c>
      <c r="B35" s="22">
        <v>610.71</v>
      </c>
    </row>
    <row r="36" spans="1:4" ht="13.5" customHeight="1" hidden="1">
      <c r="A36" s="20" t="s">
        <v>37</v>
      </c>
      <c r="B36" s="22">
        <v>610.71</v>
      </c>
      <c r="C36" s="2" t="s">
        <v>38</v>
      </c>
      <c r="D36" s="2" t="s">
        <v>39</v>
      </c>
    </row>
    <row r="37" spans="1:4" ht="13.5" customHeight="1" hidden="1">
      <c r="A37" s="20" t="s">
        <v>40</v>
      </c>
      <c r="B37" s="23">
        <f>B32+B34+B36</f>
        <v>835362.37</v>
      </c>
      <c r="C37" s="24" t="e">
        <f>#REF!/1.18-#REF!-#REF!-#REF!-#REF!-#REF!-#REF!-#REF!-#REF!-#REF!-#REF!-#REF!-#REF!-#REF!-#REF!-#REF!-#REF!-#REF!-#REF!-#REF!-#REF!-#REF!-#REF!-#REF!</f>
        <v>#REF!</v>
      </c>
      <c r="D37" s="25">
        <f>23671963.7+681260.86+22069.78</f>
        <v>24375294.34</v>
      </c>
    </row>
    <row r="38" spans="1:4" ht="13.5" customHeight="1" hidden="1">
      <c r="A38" s="26" t="s">
        <v>41</v>
      </c>
      <c r="B38" s="23">
        <f>B30+B31+B33+B35-B37</f>
        <v>27911.659999999916</v>
      </c>
      <c r="D38" s="24" t="e">
        <f>#REF!+#REF!+#REF!+#REF!+#REF!+#REF!+#REF!+#REF!-#REF!+#REF!-#REF!+#REF!+#REF!+#REF!-#REF!-#REF!-#REF!-#REF!-#REF!-#REF!+#REF!+#REF!+#REF!+#REF!</f>
        <v>#REF!</v>
      </c>
    </row>
    <row r="39" spans="1:4" ht="13.5" customHeight="1" hidden="1">
      <c r="A39" s="27" t="s">
        <v>42</v>
      </c>
      <c r="B39" s="27" t="s">
        <v>43</v>
      </c>
      <c r="D39" s="24" t="e">
        <f>D37-D38</f>
        <v>#REF!</v>
      </c>
    </row>
    <row r="40" spans="1:5" ht="13.5" customHeight="1" hidden="1">
      <c r="A40" s="28" t="s">
        <v>44</v>
      </c>
      <c r="B40" s="29">
        <f>B41+B47+B52+B57+B66+B69+B73+B77+B81+B84+B46</f>
        <v>200869.847300194</v>
      </c>
      <c r="C40" s="24"/>
      <c r="D40" s="24"/>
      <c r="E40" s="24"/>
    </row>
    <row r="41" spans="1:3" ht="13.5" customHeight="1" hidden="1">
      <c r="A41" s="30" t="s">
        <v>45</v>
      </c>
      <c r="B41" s="31">
        <f>B44+B45</f>
        <v>46234.7067287607</v>
      </c>
      <c r="C41" s="24" t="e">
        <f>#REF!+#REF!+#REF!+#REF!+#REF!+#REF!+#REF!+#REF!-#REF!+#REF!-#REF!+#REF!+#REF!+#REF!-#REF!-#REF!-#REF!-#REF!-#REF!-#REF!+#REF!+#REF!+#REF!+#REF!</f>
        <v>#REF!</v>
      </c>
    </row>
    <row r="42" spans="1:2" ht="13.5" customHeight="1" hidden="1">
      <c r="A42" s="32" t="s">
        <v>46</v>
      </c>
      <c r="B42" s="33">
        <v>3358</v>
      </c>
    </row>
    <row r="43" spans="1:3" ht="13.5" customHeight="1" hidden="1">
      <c r="A43" s="32" t="s">
        <v>47</v>
      </c>
      <c r="B43" s="34">
        <f>B14/B42</f>
        <v>0.5908278737343657</v>
      </c>
      <c r="C43" s="13" t="e">
        <f>#REF!+#REF!+#REF!</f>
        <v>#REF!</v>
      </c>
    </row>
    <row r="44" spans="1:2" ht="13.5" customHeight="1" hidden="1">
      <c r="A44" s="32" t="s">
        <v>48</v>
      </c>
      <c r="B44" s="35">
        <f>B43*(2631+200)*1.5*1.15*1.083*B204*1.302*9+B43*(2894+200)*1.5*1.15*1.083*B204*1.302*3</f>
        <v>42761.757137790766</v>
      </c>
    </row>
    <row r="45" spans="1:2" ht="13.5" customHeight="1" hidden="1">
      <c r="A45" s="36" t="s">
        <v>49</v>
      </c>
      <c r="B45" s="37">
        <f>537259/91.4*B43</f>
        <v>3472.94959096993</v>
      </c>
    </row>
    <row r="46" spans="1:2" ht="13.5" customHeight="1" hidden="1">
      <c r="A46" s="30" t="s">
        <v>50</v>
      </c>
      <c r="B46" s="31"/>
    </row>
    <row r="47" spans="1:2" ht="13.5" customHeight="1" hidden="1">
      <c r="A47" s="30" t="s">
        <v>51</v>
      </c>
      <c r="B47" s="31">
        <f>B50+B51</f>
        <v>40820.0345126186</v>
      </c>
    </row>
    <row r="48" spans="1:2" ht="13.5" customHeight="1" hidden="1">
      <c r="A48" s="32" t="s">
        <v>52</v>
      </c>
      <c r="B48" s="33">
        <v>144</v>
      </c>
    </row>
    <row r="49" spans="1:2" ht="13.5" customHeight="1" hidden="1">
      <c r="A49" s="32" t="s">
        <v>53</v>
      </c>
      <c r="B49" s="34">
        <f>B19/B48</f>
        <v>0.5</v>
      </c>
    </row>
    <row r="50" spans="1:2" ht="13.5" customHeight="1" hidden="1">
      <c r="A50" s="32" t="s">
        <v>48</v>
      </c>
      <c r="B50" s="35">
        <f>B49*2631*1.1*1.5*1.15*1.083*B205*1.302*9+B49*2894*1.1*1.5*1.15*1.083*B205*1.302*3</f>
        <v>37880.98090211532</v>
      </c>
    </row>
    <row r="51" spans="1:2" ht="13.5" customHeight="1" hidden="1">
      <c r="A51" s="36" t="s">
        <v>49</v>
      </c>
      <c r="B51" s="37">
        <f>537259/91.4*B49</f>
        <v>2939.053610503282</v>
      </c>
    </row>
    <row r="52" spans="1:2" ht="13.5" customHeight="1" hidden="1">
      <c r="A52" s="30" t="s">
        <v>54</v>
      </c>
      <c r="B52" s="31">
        <f>B55+B56</f>
        <v>63420.395084239135</v>
      </c>
    </row>
    <row r="53" spans="1:2" ht="13.5" customHeight="1" hidden="1">
      <c r="A53" s="32" t="s">
        <v>55</v>
      </c>
      <c r="B53" s="33">
        <v>820</v>
      </c>
    </row>
    <row r="54" spans="1:2" ht="13.5" customHeight="1" hidden="1">
      <c r="A54" s="32" t="s">
        <v>56</v>
      </c>
      <c r="B54" s="34">
        <f>B18/B53</f>
        <v>0.776829268292683</v>
      </c>
    </row>
    <row r="55" spans="1:2" ht="13.5" customHeight="1" hidden="1">
      <c r="A55" s="32" t="s">
        <v>48</v>
      </c>
      <c r="B55" s="35">
        <f>B54*2631*1.1*1.5*1.15*1.083*B206*1.302*9+B54*2894*1.1*1.5*1.15*1.083*B206*1.302*3</f>
        <v>58854.10935279867</v>
      </c>
    </row>
    <row r="56" spans="1:2" ht="13.5" customHeight="1" hidden="1">
      <c r="A56" s="36" t="s">
        <v>49</v>
      </c>
      <c r="B56" s="37">
        <f>537259/91.4*B54</f>
        <v>4566.2857314404655</v>
      </c>
    </row>
    <row r="57" spans="1:2" ht="13.5" customHeight="1" hidden="1">
      <c r="A57" s="30" t="s">
        <v>57</v>
      </c>
      <c r="B57" s="31">
        <f>B58+B62</f>
        <v>0</v>
      </c>
    </row>
    <row r="58" spans="1:2" ht="13.5" customHeight="1" hidden="1">
      <c r="A58" s="38" t="s">
        <v>58</v>
      </c>
      <c r="B58" s="39">
        <f>B60+B61</f>
        <v>0</v>
      </c>
    </row>
    <row r="59" spans="1:2" ht="13.5" customHeight="1" hidden="1">
      <c r="A59" s="40" t="s">
        <v>59</v>
      </c>
      <c r="B59" s="41"/>
    </row>
    <row r="60" spans="1:2" ht="13.5" customHeight="1" hidden="1">
      <c r="A60" s="42" t="s">
        <v>60</v>
      </c>
      <c r="B60" s="37">
        <f>526468*1.342/19.69*B59</f>
        <v>0</v>
      </c>
    </row>
    <row r="61" spans="1:2" ht="13.5" customHeight="1" hidden="1">
      <c r="A61" s="36" t="s">
        <v>49</v>
      </c>
      <c r="B61" s="37">
        <f>B60*0.035</f>
        <v>0</v>
      </c>
    </row>
    <row r="62" spans="1:2" ht="13.5" customHeight="1" hidden="1">
      <c r="A62" s="38" t="s">
        <v>61</v>
      </c>
      <c r="B62" s="31">
        <f>B64+B65</f>
        <v>0</v>
      </c>
    </row>
    <row r="63" spans="1:2" ht="13.5" customHeight="1" hidden="1">
      <c r="A63" s="38" t="s">
        <v>59</v>
      </c>
      <c r="B63" s="43">
        <f>4/210828.7*B6</f>
        <v>0.07366738968650853</v>
      </c>
    </row>
    <row r="64" spans="1:2" ht="13.5" customHeight="1" hidden="1">
      <c r="A64" s="32" t="s">
        <v>48</v>
      </c>
      <c r="B64" s="37"/>
    </row>
    <row r="65" spans="1:2" ht="13.5" customHeight="1" hidden="1">
      <c r="A65" s="36" t="s">
        <v>49</v>
      </c>
      <c r="B65" s="37">
        <f>B64*0.035</f>
        <v>0</v>
      </c>
    </row>
    <row r="66" spans="1:2" ht="13.5" customHeight="1" hidden="1">
      <c r="A66" s="30" t="s">
        <v>62</v>
      </c>
      <c r="B66" s="31">
        <f>702468/210828.7*B6</f>
        <v>12937.245974575568</v>
      </c>
    </row>
    <row r="67" spans="1:2" ht="13.5" customHeight="1" hidden="1">
      <c r="A67" s="32" t="s">
        <v>63</v>
      </c>
      <c r="B67" s="33">
        <f>B20</f>
        <v>183</v>
      </c>
    </row>
    <row r="68" spans="1:2" ht="13.5" customHeight="1" hidden="1">
      <c r="A68" s="32" t="s">
        <v>64</v>
      </c>
      <c r="B68" s="41">
        <v>6.68</v>
      </c>
    </row>
    <row r="69" spans="1:2" ht="13.5" customHeight="1" hidden="1">
      <c r="A69" s="30" t="s">
        <v>65</v>
      </c>
      <c r="B69" s="31">
        <f>B70*B71*B72/12*6+16478.5</f>
        <v>31287.775</v>
      </c>
    </row>
    <row r="70" spans="1:2" ht="13.5" customHeight="1" hidden="1">
      <c r="A70" s="32" t="s">
        <v>66</v>
      </c>
      <c r="B70" s="33">
        <v>1.5</v>
      </c>
    </row>
    <row r="71" spans="1:2" ht="13.5" customHeight="1" hidden="1">
      <c r="A71" s="32" t="s">
        <v>63</v>
      </c>
      <c r="B71" s="33">
        <f>B20</f>
        <v>183</v>
      </c>
    </row>
    <row r="72" spans="1:2" ht="13.5" customHeight="1" hidden="1">
      <c r="A72" s="32" t="s">
        <v>67</v>
      </c>
      <c r="B72" s="33">
        <f>83.71+24.19</f>
        <v>107.89999999999999</v>
      </c>
    </row>
    <row r="73" spans="1:2" ht="13.5" customHeight="1" hidden="1">
      <c r="A73" s="38" t="s">
        <v>68</v>
      </c>
      <c r="B73" s="31">
        <v>2116</v>
      </c>
    </row>
    <row r="74" spans="1:2" ht="13.5" customHeight="1" hidden="1">
      <c r="A74" s="32" t="s">
        <v>66</v>
      </c>
      <c r="B74" s="33">
        <v>2</v>
      </c>
    </row>
    <row r="75" spans="1:2" ht="13.5" customHeight="1" hidden="1">
      <c r="A75" s="32" t="s">
        <v>69</v>
      </c>
      <c r="B75" s="33">
        <v>14.43</v>
      </c>
    </row>
    <row r="76" spans="1:2" ht="13.5" customHeight="1" hidden="1">
      <c r="A76" s="32" t="s">
        <v>70</v>
      </c>
      <c r="B76" s="33">
        <v>144</v>
      </c>
    </row>
    <row r="77" spans="1:6" ht="13.5" customHeight="1" hidden="1">
      <c r="A77" s="38" t="s">
        <v>71</v>
      </c>
      <c r="B77" s="31">
        <f>B78*B79*B80/12*B207</f>
        <v>0</v>
      </c>
      <c r="C77" s="24"/>
      <c r="D77" s="24"/>
      <c r="E77" s="24"/>
      <c r="F77" s="24"/>
    </row>
    <row r="78" spans="1:2" ht="13.5" customHeight="1" hidden="1">
      <c r="A78" s="32" t="s">
        <v>66</v>
      </c>
      <c r="B78" s="33">
        <v>4</v>
      </c>
    </row>
    <row r="79" spans="1:2" ht="13.5" customHeight="1" hidden="1">
      <c r="A79" s="32" t="s">
        <v>72</v>
      </c>
      <c r="B79" s="33">
        <v>42.58</v>
      </c>
    </row>
    <row r="80" spans="1:2" ht="13.5" customHeight="1" hidden="1">
      <c r="A80" s="32" t="s">
        <v>73</v>
      </c>
      <c r="B80" s="33">
        <v>0</v>
      </c>
    </row>
    <row r="81" spans="1:2" ht="13.5" customHeight="1" hidden="1">
      <c r="A81" s="38" t="s">
        <v>74</v>
      </c>
      <c r="B81" s="31">
        <v>3702.69</v>
      </c>
    </row>
    <row r="82" spans="1:2" ht="13.5" customHeight="1" hidden="1">
      <c r="A82" s="32" t="s">
        <v>75</v>
      </c>
      <c r="B82" s="44"/>
    </row>
    <row r="83" spans="1:2" ht="13.5" customHeight="1" hidden="1">
      <c r="A83" s="32" t="s">
        <v>76</v>
      </c>
      <c r="B83" s="44">
        <v>0.56</v>
      </c>
    </row>
    <row r="84" spans="1:2" ht="13.5" customHeight="1" hidden="1">
      <c r="A84" s="38" t="s">
        <v>77</v>
      </c>
      <c r="B84" s="31">
        <v>351</v>
      </c>
    </row>
    <row r="85" spans="1:2" ht="13.5" customHeight="1" hidden="1">
      <c r="A85" s="32" t="s">
        <v>75</v>
      </c>
      <c r="B85" s="44">
        <f>B13</f>
        <v>150</v>
      </c>
    </row>
    <row r="86" spans="1:2" ht="13.5" customHeight="1" hidden="1">
      <c r="A86" s="32" t="s">
        <v>76</v>
      </c>
      <c r="B86" s="44">
        <v>0.19</v>
      </c>
    </row>
    <row r="87" spans="1:2" ht="13.5" customHeight="1" hidden="1">
      <c r="A87" s="45" t="s">
        <v>78</v>
      </c>
      <c r="B87" s="44"/>
    </row>
    <row r="88" spans="1:3" s="48" customFormat="1" ht="12" customHeight="1" hidden="1">
      <c r="A88" s="46" t="s">
        <v>79</v>
      </c>
      <c r="B88" s="21">
        <v>0</v>
      </c>
      <c r="C88" s="47"/>
    </row>
    <row r="89" spans="1:15" ht="12" customHeight="1" hidden="1">
      <c r="A89" s="49" t="s">
        <v>80</v>
      </c>
      <c r="B89" s="50">
        <f>'[1]9мес'!AZ5+'[1]4кв'!AZ5</f>
        <v>0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ht="12" customHeight="1" hidden="1">
      <c r="A90" s="49" t="s">
        <v>81</v>
      </c>
      <c r="B90" s="50">
        <f>'[1]9мес'!AZ6+'[1]4кв'!AZ6</f>
        <v>0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12" customHeight="1" hidden="1">
      <c r="A91" s="52" t="s">
        <v>82</v>
      </c>
      <c r="B91" s="50">
        <f>'[1]9мес'!AZ7+'[1]4кв'!AZ7</f>
        <v>0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 customHeight="1" hidden="1">
      <c r="A92" s="53" t="s">
        <v>83</v>
      </c>
      <c r="B92" s="50">
        <f>'[1]9мес'!AZ8+'[1]4кв'!AZ8</f>
        <v>0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 customHeight="1" hidden="1">
      <c r="A93" s="52" t="s">
        <v>84</v>
      </c>
      <c r="B93" s="50">
        <f>'[1]9мес'!AZ9+'[1]4кв'!AZ9</f>
        <v>0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 customHeight="1" hidden="1">
      <c r="A94" s="52" t="s">
        <v>85</v>
      </c>
      <c r="B94" s="50">
        <f>'[1]9мес'!AZ10+'[1]4кв'!AZ10</f>
        <v>0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 customHeight="1" hidden="1">
      <c r="A95" s="54" t="s">
        <v>86</v>
      </c>
      <c r="B95" s="50">
        <f>'[1]9мес'!AZ11+'[1]4кв'!AZ11</f>
        <v>0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1" ht="15.75" customHeight="1" hidden="1">
      <c r="A96" s="46" t="s">
        <v>87</v>
      </c>
      <c r="B96" s="23">
        <f>B97+B101+B114</f>
        <v>171644.62376184092</v>
      </c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" customHeight="1" hidden="1">
      <c r="A97" s="38" t="s">
        <v>88</v>
      </c>
      <c r="B97" s="56">
        <f>'[1]9мес'!AZ13+'[1]4кв'!AZ13</f>
        <v>0</v>
      </c>
      <c r="C97" s="55" t="e">
        <f>#REF!+#REF!+#REF!+#REF!</f>
        <v>#REF!</v>
      </c>
      <c r="D97" s="55"/>
      <c r="E97" s="55"/>
      <c r="F97" s="55"/>
      <c r="G97" s="55"/>
      <c r="H97" s="55"/>
      <c r="I97" s="55"/>
      <c r="J97" s="55"/>
      <c r="K97" s="55"/>
    </row>
    <row r="98" spans="1:11" ht="12" customHeight="1" hidden="1">
      <c r="A98" s="32" t="s">
        <v>89</v>
      </c>
      <c r="B98" s="56">
        <f>'[1]9мес'!AZ14+'[1]4кв'!AZ14</f>
        <v>0</v>
      </c>
      <c r="C98" s="57" t="e">
        <f>#REF!+#REF!</f>
        <v>#REF!</v>
      </c>
      <c r="D98" s="57"/>
      <c r="E98" s="57"/>
      <c r="F98" s="57"/>
      <c r="G98" s="57"/>
      <c r="H98" s="57"/>
      <c r="I98" s="57"/>
      <c r="J98" s="57"/>
      <c r="K98" s="57"/>
    </row>
    <row r="99" spans="1:11" ht="12" customHeight="1" hidden="1">
      <c r="A99" s="32" t="s">
        <v>48</v>
      </c>
      <c r="B99" s="56">
        <f>'[1]9мес'!AZ15+'[1]4кв'!AZ15</f>
        <v>0</v>
      </c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" customHeight="1" hidden="1">
      <c r="A100" s="32" t="s">
        <v>90</v>
      </c>
      <c r="B100" s="56">
        <f>'[1]9мес'!AZ16+'[1]4кв'!AZ16</f>
        <v>0</v>
      </c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" customHeight="1" hidden="1">
      <c r="A101" s="38" t="s">
        <v>91</v>
      </c>
      <c r="B101" s="31">
        <f>SUM(B102:B113)</f>
        <v>169229.5338983051</v>
      </c>
      <c r="C101" s="58" t="e">
        <f>#REF!-#REF!-48538.04/1.18</f>
        <v>#REF!</v>
      </c>
      <c r="D101" s="55"/>
      <c r="E101" s="55"/>
      <c r="F101" s="55"/>
      <c r="G101" s="55"/>
      <c r="H101" s="55"/>
      <c r="I101" s="55"/>
      <c r="J101" s="55"/>
      <c r="K101" s="55"/>
    </row>
    <row r="102" spans="1:17" ht="13.5" customHeight="1" hidden="1">
      <c r="A102" s="59" t="s">
        <v>92</v>
      </c>
      <c r="B102" s="56">
        <f>'[1]9мес'!AZ18+'[1]4кв'!AZ18</f>
        <v>11719.762711864409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ht="12.75" customHeight="1" hidden="1">
      <c r="A103" s="60" t="s">
        <v>93</v>
      </c>
      <c r="B103" s="56">
        <f>'[1]9мес'!AZ19+'[1]4кв'!AZ19</f>
        <v>17484.338983050846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ht="11.25" customHeight="1" hidden="1">
      <c r="A104" s="60" t="s">
        <v>94</v>
      </c>
      <c r="B104" s="56">
        <f>'[1]9мес'!AZ20+'[1]4кв'!AZ20</f>
        <v>0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ht="12" customHeight="1" hidden="1">
      <c r="A105" s="60" t="s">
        <v>95</v>
      </c>
      <c r="B105" s="56">
        <f>'[1]9мес'!AZ21+'[1]4кв'!AZ21</f>
        <v>72673.10169491525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ht="12" customHeight="1" hidden="1">
      <c r="A106" s="61" t="s">
        <v>96</v>
      </c>
      <c r="B106" s="56">
        <f>'[1]9мес'!AZ22+'[1]4кв'!AZ22</f>
        <v>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ht="12.75" customHeight="1" hidden="1">
      <c r="A107" s="61" t="s">
        <v>97</v>
      </c>
      <c r="B107" s="56">
        <f>'[1]9мес'!AZ23+'[1]4кв'!AZ23</f>
        <v>0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17" ht="12.75" customHeight="1" hidden="1">
      <c r="A108" s="60" t="s">
        <v>98</v>
      </c>
      <c r="B108" s="56">
        <f>'[1]9мес'!AZ24+'[1]4кв'!AZ24</f>
        <v>0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ht="12.75" customHeight="1" hidden="1">
      <c r="A109" s="61" t="s">
        <v>99</v>
      </c>
      <c r="B109" s="56">
        <f>'[1]9мес'!AZ25+'[1]4кв'!AZ25</f>
        <v>2692.3389830508477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ht="12.75" customHeight="1" hidden="1">
      <c r="A110" s="61" t="s">
        <v>100</v>
      </c>
      <c r="B110" s="56">
        <f>'[1]9мес'!AZ26+'[1]4кв'!AZ26</f>
        <v>47321.00847457627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ht="12.75" customHeight="1" hidden="1">
      <c r="A111" s="61" t="s">
        <v>101</v>
      </c>
      <c r="B111" s="56">
        <f>'[1]9мес'!AZ27+'[1]4кв'!AZ27</f>
        <v>0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12.75" customHeight="1" hidden="1">
      <c r="A112" s="61" t="s">
        <v>102</v>
      </c>
      <c r="B112" s="56">
        <f>'[1]9мес'!AZ28+'[1]4кв'!AZ28</f>
        <v>0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2.75" customHeight="1" hidden="1">
      <c r="A113" s="61" t="s">
        <v>103</v>
      </c>
      <c r="B113" s="56">
        <f>'[1]9мес'!AZ29+'[1]4кв'!AZ29</f>
        <v>17338.98305084746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2.75" customHeight="1" hidden="1">
      <c r="A114" s="38" t="s">
        <v>104</v>
      </c>
      <c r="B114" s="31">
        <f>B116+B117</f>
        <v>2415.08986353584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2.75" customHeight="1" hidden="1">
      <c r="A115" s="32" t="s">
        <v>89</v>
      </c>
      <c r="B115" s="37">
        <f>'[1]год'!$AZ$31</f>
        <v>30.795545930781174</v>
      </c>
      <c r="C115" s="62" t="e">
        <f>#REF!+#REF!</f>
        <v>#REF!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6.5" customHeight="1" hidden="1">
      <c r="A116" s="32" t="s">
        <v>48</v>
      </c>
      <c r="B116" s="37">
        <f>'[1]год'!$AZ$32</f>
        <v>2415.08986353584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2.75" customHeight="1" hidden="1">
      <c r="A117" s="32" t="s">
        <v>90</v>
      </c>
      <c r="B117" s="56">
        <f>'[1]9мес'!AZ33+'[1]4кв'!AZ33</f>
        <v>0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12.75" customHeight="1" hidden="1">
      <c r="A118" s="63" t="s">
        <v>105</v>
      </c>
      <c r="B118" s="29">
        <f>B119+B123+B145+B149</f>
        <v>123532.99113085892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ht="12.75" customHeight="1" hidden="1">
      <c r="A119" s="38" t="s">
        <v>88</v>
      </c>
      <c r="B119" s="31">
        <f>B121+B122</f>
        <v>9419.311790793672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ht="12.75" customHeight="1" hidden="1">
      <c r="A120" s="32" t="s">
        <v>89</v>
      </c>
      <c r="B120" s="56">
        <f>'[1]9мес'!AZ36+'[1]4кв'!AZ36</f>
        <v>116.1025299837415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ht="15" customHeight="1" hidden="1">
      <c r="A121" s="32" t="s">
        <v>48</v>
      </c>
      <c r="B121" s="56">
        <f>'[1]9мес'!AZ37+'[1]4кв'!AZ37</f>
        <v>8963.257382542772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ht="12.75" customHeight="1" hidden="1">
      <c r="A122" s="32" t="s">
        <v>90</v>
      </c>
      <c r="B122" s="56">
        <f>'[1]9мес'!AZ38+'[1]4кв'!AZ38</f>
        <v>456.05440825090034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ht="12.75" customHeight="1" hidden="1">
      <c r="A123" s="38" t="s">
        <v>91</v>
      </c>
      <c r="B123" s="31">
        <f>SUM(B124:B144)-B129</f>
        <v>92751.42787483703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ht="12" customHeight="1" hidden="1">
      <c r="A124" s="61" t="s">
        <v>106</v>
      </c>
      <c r="B124" s="56">
        <f>'[1]9мес'!AZ40+'[1]4кв'!AZ40</f>
        <v>37911.5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ht="12" customHeight="1" hidden="1">
      <c r="A125" s="61" t="s">
        <v>107</v>
      </c>
      <c r="B125" s="56">
        <f>'[1]9мес'!AZ41+'[1]4кв'!AZ41</f>
        <v>0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13.5" customHeight="1" hidden="1">
      <c r="A126" s="60" t="s">
        <v>108</v>
      </c>
      <c r="B126" s="56">
        <f>'[1]9мес'!AZ42+'[1]4кв'!AZ42</f>
        <v>34496.82203389831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ht="12" customHeight="1" hidden="1">
      <c r="A127" s="60" t="s">
        <v>109</v>
      </c>
      <c r="B127" s="56">
        <f>'[1]9мес'!AZ43+'[1]4кв'!AZ43</f>
        <v>9740.889830508475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ht="12.75" customHeight="1" hidden="1">
      <c r="A128" s="61" t="s">
        <v>110</v>
      </c>
      <c r="B128" s="56">
        <f>'[1]9мес'!AZ44+'[1]4кв'!AZ44+B129</f>
        <v>10602.216010430247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ht="12.75" customHeight="1" hidden="1">
      <c r="A129" s="61" t="s">
        <v>111</v>
      </c>
      <c r="B129" s="64">
        <f>74320.53/39*2</f>
        <v>3811.309230769231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ht="12" customHeight="1" hidden="1">
      <c r="A130" s="65" t="s">
        <v>112</v>
      </c>
      <c r="B130" s="66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ht="12" customHeight="1" hidden="1">
      <c r="A131" s="65" t="s">
        <v>113</v>
      </c>
      <c r="B131" s="56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12" customHeight="1" hidden="1">
      <c r="A132" s="61" t="s">
        <v>114</v>
      </c>
      <c r="B132" s="23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ht="12" customHeight="1" hidden="1">
      <c r="A133" s="61" t="s">
        <v>115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1:17" ht="12" customHeight="1" hidden="1">
      <c r="A134" s="61" t="s">
        <v>116</v>
      </c>
      <c r="B134" s="14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ht="12" customHeight="1" hidden="1">
      <c r="A135" s="61" t="s">
        <v>117</v>
      </c>
      <c r="B135" s="23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ht="12" customHeight="1" hidden="1">
      <c r="A136" s="65" t="s">
        <v>118</v>
      </c>
      <c r="B136" s="66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7" ht="12" customHeight="1" hidden="1">
      <c r="A137" s="65" t="s">
        <v>119</v>
      </c>
      <c r="B137" s="66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ht="12" customHeight="1" hidden="1">
      <c r="A138" s="65" t="s">
        <v>120</v>
      </c>
      <c r="B138" s="66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1:17" ht="12" customHeight="1" hidden="1">
      <c r="A139" s="65" t="s">
        <v>121</v>
      </c>
      <c r="B139" s="66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17" ht="12" customHeight="1" hidden="1">
      <c r="A140" s="65" t="s">
        <v>122</v>
      </c>
      <c r="B140" s="66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ht="12" customHeight="1" hidden="1">
      <c r="A141" s="65" t="s">
        <v>123</v>
      </c>
      <c r="B141" s="66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ht="12" customHeight="1" hidden="1">
      <c r="A142" s="65" t="s">
        <v>124</v>
      </c>
      <c r="B142" s="66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1:17" ht="12" customHeight="1" hidden="1">
      <c r="A143" s="65" t="s">
        <v>125</v>
      </c>
      <c r="B143" s="66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ht="12" customHeight="1" hidden="1">
      <c r="A144" s="65" t="s">
        <v>126</v>
      </c>
      <c r="B144" s="66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1:17" ht="12" customHeight="1" hidden="1">
      <c r="A145" s="38" t="s">
        <v>104</v>
      </c>
      <c r="B145" s="31">
        <f>B147+B148</f>
        <v>12183.312265228218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ht="12" customHeight="1" hidden="1">
      <c r="A146" s="32" t="s">
        <v>89</v>
      </c>
      <c r="B146" s="56">
        <f>'[1]9мес'!AZ46+'[1]4кв'!AZ46</f>
        <v>155.53026152985845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ht="15" customHeight="1" hidden="1">
      <c r="A147" s="32" t="s">
        <v>48</v>
      </c>
      <c r="B147" s="56">
        <f>'[1]9мес'!AZ47+'[1]4кв'!AZ47</f>
        <v>11924.141034698714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ht="12" customHeight="1" hidden="1">
      <c r="A148" s="32" t="s">
        <v>90</v>
      </c>
      <c r="B148" s="56">
        <f>'[1]9мес'!AZ48+'[1]4кв'!AZ48</f>
        <v>259.17123052950365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1:17" ht="12" customHeight="1" hidden="1">
      <c r="A149" s="38" t="s">
        <v>127</v>
      </c>
      <c r="B149" s="31">
        <f>B6*0.197*B207</f>
        <v>9178.9392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ht="12" customHeight="1" hidden="1">
      <c r="A150" s="28" t="s">
        <v>128</v>
      </c>
      <c r="B150" s="29">
        <f>B151+B152+B153</f>
        <v>23707.610169491527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1:17" ht="13.5" customHeight="1" hidden="1">
      <c r="A151" s="60" t="s">
        <v>129</v>
      </c>
      <c r="B151" s="56">
        <f>'[1]9мес'!AZ50+'[1]4кв'!AZ50</f>
        <v>22979.457627118645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17" ht="12" customHeight="1" hidden="1">
      <c r="A152" s="61" t="s">
        <v>130</v>
      </c>
      <c r="B152" s="56">
        <f>'[1]9мес'!AZ51+'[1]4кв'!AZ51</f>
        <v>728.1525423728814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ht="12" customHeight="1" hidden="1">
      <c r="A153" s="61" t="s">
        <v>131</v>
      </c>
      <c r="B153" s="56">
        <f>'[1]9мес'!AZ52+'[1]4кв'!AZ52</f>
        <v>0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1:17" ht="12" customHeight="1" hidden="1">
      <c r="A154" s="67" t="s">
        <v>132</v>
      </c>
      <c r="B154" s="23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1:11" ht="15" customHeight="1" hidden="1">
      <c r="A155" s="67" t="s">
        <v>133</v>
      </c>
      <c r="B155" s="21">
        <f>47730.27*2</f>
        <v>95460.54</v>
      </c>
      <c r="C155" s="68"/>
      <c r="D155" s="68"/>
      <c r="E155" s="68"/>
      <c r="F155" s="68"/>
      <c r="G155" s="68"/>
      <c r="H155" s="68"/>
      <c r="I155" s="68"/>
      <c r="J155" s="68"/>
      <c r="K155" s="68"/>
    </row>
    <row r="156" spans="1:11" ht="15" customHeight="1" hidden="1">
      <c r="A156" s="67" t="s">
        <v>134</v>
      </c>
      <c r="B156" s="29">
        <f>4845.32*2/1.18</f>
        <v>8212.406779661016</v>
      </c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15" customHeight="1" hidden="1">
      <c r="A157" s="61" t="s">
        <v>135</v>
      </c>
      <c r="B157" s="69">
        <v>2</v>
      </c>
      <c r="C157" s="70"/>
      <c r="D157" s="70"/>
      <c r="E157" s="70"/>
      <c r="F157" s="70"/>
      <c r="G157" s="68"/>
      <c r="H157" s="68"/>
      <c r="I157" s="68"/>
      <c r="J157" s="68"/>
      <c r="K157" s="68"/>
    </row>
    <row r="158" spans="1:11" ht="15" customHeight="1" hidden="1">
      <c r="A158" s="61" t="s">
        <v>136</v>
      </c>
      <c r="B158" s="33">
        <v>1047</v>
      </c>
      <c r="C158" s="70"/>
      <c r="D158" s="70"/>
      <c r="E158" s="70"/>
      <c r="F158" s="70"/>
      <c r="G158" s="68"/>
      <c r="H158" s="68"/>
      <c r="I158" s="68"/>
      <c r="J158" s="68"/>
      <c r="K158" s="68"/>
    </row>
    <row r="159" spans="1:11" ht="15" customHeight="1" hidden="1">
      <c r="A159" s="67" t="s">
        <v>137</v>
      </c>
      <c r="B159" s="29"/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1:12" ht="15" customHeight="1" hidden="1">
      <c r="A160" s="61" t="s">
        <v>138</v>
      </c>
      <c r="B160" s="71">
        <v>12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51"/>
    </row>
    <row r="161" spans="1:12" ht="15" customHeight="1" hidden="1">
      <c r="A161" s="61" t="s">
        <v>139</v>
      </c>
      <c r="B161" s="72">
        <v>85.92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51"/>
    </row>
    <row r="162" spans="1:11" ht="15" customHeight="1" hidden="1">
      <c r="A162" s="67" t="s">
        <v>140</v>
      </c>
      <c r="B162" s="21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5" customHeight="1" hidden="1">
      <c r="A163" s="67" t="s">
        <v>141</v>
      </c>
      <c r="B163" s="28">
        <f>45*B157</f>
        <v>90</v>
      </c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5" customHeight="1" hidden="1">
      <c r="A164" s="67" t="s">
        <v>142</v>
      </c>
      <c r="B164" s="29">
        <f>(B41+B46+B47+B52+B57+B66+B69+B97+B114+B119+B145)*0.158</f>
        <v>34557.42365272077</v>
      </c>
      <c r="C164" s="68" t="e">
        <f>#REF!/D37*100</f>
        <v>#REF!</v>
      </c>
      <c r="D164" s="73" t="e">
        <f>23382836-#REF!</f>
        <v>#REF!</v>
      </c>
      <c r="E164" s="68"/>
      <c r="F164" s="68"/>
      <c r="G164" s="68"/>
      <c r="H164" s="68"/>
      <c r="I164" s="68"/>
      <c r="J164" s="68"/>
      <c r="K164" s="68"/>
    </row>
    <row r="165" spans="1:11" ht="15" customHeight="1" hidden="1">
      <c r="A165" s="67" t="s">
        <v>143</v>
      </c>
      <c r="B165" s="29">
        <f>B31/1.18*0.66%</f>
        <v>4625.2501322033895</v>
      </c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15" customHeight="1" hidden="1">
      <c r="A166" s="67" t="s">
        <v>144</v>
      </c>
      <c r="B166" s="29">
        <f>B31/1.18*2.75%</f>
        <v>19271.875550847457</v>
      </c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1:11" ht="15" customHeight="1" hidden="1">
      <c r="A167" s="67" t="s">
        <v>145</v>
      </c>
      <c r="B167" s="29">
        <v>55977.04</v>
      </c>
      <c r="C167" s="68"/>
      <c r="D167" s="68"/>
      <c r="E167" s="68"/>
      <c r="F167" s="68"/>
      <c r="G167" s="68"/>
      <c r="H167" s="68"/>
      <c r="I167" s="68"/>
      <c r="J167" s="68"/>
      <c r="K167" s="68"/>
    </row>
    <row r="168" spans="1:11" ht="15" customHeight="1" hidden="1">
      <c r="A168" s="67" t="s">
        <v>146</v>
      </c>
      <c r="B168" s="29">
        <f>B31/1.18*0.98%</f>
        <v>6867.795650847457</v>
      </c>
      <c r="C168" s="68"/>
      <c r="D168" s="68"/>
      <c r="E168" s="68"/>
      <c r="F168" s="68"/>
      <c r="G168" s="68"/>
      <c r="H168" s="68"/>
      <c r="I168" s="68"/>
      <c r="J168" s="68"/>
      <c r="K168" s="68"/>
    </row>
    <row r="169" spans="1:11" ht="15" customHeight="1" hidden="1">
      <c r="A169" s="67" t="s">
        <v>147</v>
      </c>
      <c r="B169" s="29">
        <f>B40+B87+B88+B96+B118+B150+B154+B155+B156+B159+B162+B163+B164+B165+B166+B167+B168</f>
        <v>744817.4041286655</v>
      </c>
      <c r="C169" s="68"/>
      <c r="D169" s="68"/>
      <c r="E169" s="68"/>
      <c r="F169" s="68"/>
      <c r="G169" s="68"/>
      <c r="H169" s="68"/>
      <c r="I169" s="68"/>
      <c r="J169" s="68"/>
      <c r="K169" s="68"/>
    </row>
    <row r="170" spans="1:11" ht="15" customHeight="1" hidden="1">
      <c r="A170" s="61" t="s">
        <v>148</v>
      </c>
      <c r="B170" s="73">
        <f>(B41+B46+B47+B52+B57+B66+B69+B97+B114+B119+B145+B164)*0.03</f>
        <v>7598.258846174173</v>
      </c>
      <c r="C170" s="74" t="e">
        <f>#REF!+#REF!+#REF!+#REF!+#REF!+#REF!+#REF!+#REF!-#REF!-#REF!-#REF!-#REF!-#REF!-#REF!-#REF!-#REF!-#REF!-#REF!-#REF!-#REF!-#REF!-#REF!-#REF!-#REF!+#REF!+#REF!+#REF!+#REF!+#REF!+#REF!</f>
        <v>#REF!</v>
      </c>
      <c r="D170" s="68">
        <f>23300+740+154</f>
        <v>24194</v>
      </c>
      <c r="E170" s="68"/>
      <c r="F170" s="68"/>
      <c r="G170" s="68"/>
      <c r="H170" s="68"/>
      <c r="I170" s="68"/>
      <c r="J170" s="68"/>
      <c r="K170" s="68"/>
    </row>
    <row r="171" spans="1:11" ht="15" customHeight="1" hidden="1">
      <c r="A171" s="67" t="s">
        <v>149</v>
      </c>
      <c r="B171" s="29">
        <f>B169+B170</f>
        <v>752415.6629748397</v>
      </c>
      <c r="C171" s="68"/>
      <c r="D171" s="75"/>
      <c r="E171" s="68"/>
      <c r="F171" s="68"/>
      <c r="G171" s="68"/>
      <c r="H171" s="68"/>
      <c r="I171" s="68"/>
      <c r="J171" s="68"/>
      <c r="K171" s="68"/>
    </row>
    <row r="172" spans="1:11" ht="15" customHeight="1" hidden="1">
      <c r="A172" s="61" t="s">
        <v>150</v>
      </c>
      <c r="B172" s="73">
        <f>B171*0.18</f>
        <v>135434.81933547114</v>
      </c>
      <c r="C172" s="76"/>
      <c r="D172" s="68"/>
      <c r="E172" s="68"/>
      <c r="F172" s="68"/>
      <c r="G172" s="68"/>
      <c r="H172" s="68"/>
      <c r="I172" s="68"/>
      <c r="J172" s="68"/>
      <c r="K172" s="68"/>
    </row>
    <row r="173" spans="1:11" ht="15" customHeight="1" hidden="1">
      <c r="A173" s="67" t="s">
        <v>151</v>
      </c>
      <c r="B173" s="29">
        <f>B171+B172</f>
        <v>887850.4823103108</v>
      </c>
      <c r="C173" s="68"/>
      <c r="D173" s="68"/>
      <c r="E173" s="68"/>
      <c r="F173" s="68"/>
      <c r="G173" s="68"/>
      <c r="H173" s="68"/>
      <c r="I173" s="68"/>
      <c r="J173" s="68"/>
      <c r="K173" s="68"/>
    </row>
    <row r="174" spans="1:11" ht="15" customHeight="1" hidden="1">
      <c r="A174" s="77" t="s">
        <v>152</v>
      </c>
      <c r="B174" s="29">
        <f>'[2]дом учет_факт (короткая)'!$AZ$78</f>
        <v>22371.313621001318</v>
      </c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1" ht="15" customHeight="1" hidden="1">
      <c r="A175" s="77" t="s">
        <v>153</v>
      </c>
      <c r="B175" s="31">
        <f>B37-B173+B174</f>
        <v>-30116.798689309508</v>
      </c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5" customHeight="1" hidden="1">
      <c r="A176" s="78"/>
      <c r="B176" s="79">
        <f>B123-B131</f>
        <v>92751.42787483703</v>
      </c>
      <c r="C176" s="68"/>
      <c r="D176" s="68"/>
      <c r="E176" s="68"/>
      <c r="F176" s="68"/>
      <c r="G176" s="68"/>
      <c r="H176" s="68"/>
      <c r="I176" s="68"/>
      <c r="J176" s="68"/>
      <c r="K176" s="68"/>
    </row>
    <row r="177" ht="12" customHeight="1" hidden="1">
      <c r="A177" s="80"/>
    </row>
    <row r="178" ht="12" customHeight="1" hidden="1">
      <c r="A178" s="81" t="s">
        <v>154</v>
      </c>
    </row>
    <row r="179" spans="1:2" ht="12" customHeight="1" hidden="1">
      <c r="A179" s="82" t="s">
        <v>155</v>
      </c>
      <c r="B179" s="80" t="s">
        <v>156</v>
      </c>
    </row>
    <row r="180" spans="1:2" ht="12" customHeight="1" hidden="1">
      <c r="A180" s="82"/>
      <c r="B180" s="80"/>
    </row>
    <row r="181" spans="1:2" ht="12" customHeight="1" hidden="1">
      <c r="A181" s="81" t="s">
        <v>157</v>
      </c>
      <c r="B181" s="80"/>
    </row>
    <row r="182" spans="1:2" ht="15" customHeight="1" hidden="1">
      <c r="A182" s="83" t="s">
        <v>158</v>
      </c>
      <c r="B182" s="2" t="s">
        <v>159</v>
      </c>
    </row>
    <row r="183" ht="12" customHeight="1" hidden="1">
      <c r="A183" s="84"/>
    </row>
    <row r="184" ht="12" customHeight="1" hidden="1">
      <c r="A184" s="85"/>
    </row>
    <row r="185" ht="16.5" customHeight="1" hidden="1">
      <c r="A185" s="83" t="s">
        <v>160</v>
      </c>
    </row>
    <row r="186" ht="16.5" customHeight="1" hidden="1">
      <c r="A186" s="85"/>
    </row>
    <row r="187" ht="16.5" customHeight="1" hidden="1">
      <c r="A187" s="85"/>
    </row>
    <row r="188" ht="15.75" customHeight="1" hidden="1">
      <c r="A188" s="85"/>
    </row>
    <row r="189" ht="12" customHeight="1" hidden="1">
      <c r="A189" s="85"/>
    </row>
    <row r="190" ht="17.25" customHeight="1" hidden="1">
      <c r="A190" s="85"/>
    </row>
    <row r="191" ht="15.75" customHeight="1" hidden="1">
      <c r="A191" s="85"/>
    </row>
    <row r="192" ht="17.25" customHeight="1" hidden="1">
      <c r="A192" s="85"/>
    </row>
    <row r="193" ht="17.25" customHeight="1" hidden="1">
      <c r="A193" s="85"/>
    </row>
    <row r="194" ht="12" customHeight="1" hidden="1">
      <c r="A194" s="85"/>
    </row>
    <row r="195" ht="12" customHeight="1" hidden="1">
      <c r="A195" s="85"/>
    </row>
    <row r="196" ht="12" customHeight="1" hidden="1">
      <c r="A196" s="85"/>
    </row>
    <row r="197" ht="12" customHeight="1" hidden="1">
      <c r="A197" s="85"/>
    </row>
    <row r="198" ht="12" customHeight="1" hidden="1">
      <c r="A198" s="85" t="s">
        <v>161</v>
      </c>
    </row>
    <row r="199" ht="12.75" hidden="1"/>
    <row r="200" ht="12.75" hidden="1">
      <c r="A200" s="2" t="s">
        <v>162</v>
      </c>
    </row>
    <row r="201" ht="12.75" hidden="1"/>
    <row r="202" ht="12.75" hidden="1">
      <c r="A202" s="2" t="s">
        <v>163</v>
      </c>
    </row>
    <row r="203" ht="12.75" hidden="1"/>
    <row r="204" spans="1:2" ht="12.75" hidden="1">
      <c r="A204" s="51" t="s">
        <v>164</v>
      </c>
      <c r="B204" s="86">
        <v>0.856</v>
      </c>
    </row>
    <row r="205" spans="1:2" ht="12.75" hidden="1">
      <c r="A205" s="51" t="s">
        <v>165</v>
      </c>
      <c r="B205" s="87">
        <v>0.875</v>
      </c>
    </row>
    <row r="206" spans="1:2" ht="12.75" hidden="1">
      <c r="A206" s="51" t="s">
        <v>166</v>
      </c>
      <c r="B206" s="87">
        <v>0.875</v>
      </c>
    </row>
    <row r="207" spans="1:2" ht="12.75" hidden="1">
      <c r="A207" s="51" t="s">
        <v>167</v>
      </c>
      <c r="B207" s="88">
        <v>12</v>
      </c>
    </row>
    <row r="208" ht="12.75" hidden="1"/>
    <row r="209" spans="1:2" ht="12.75" hidden="1">
      <c r="A209" s="51" t="s">
        <v>168</v>
      </c>
      <c r="B209" s="89">
        <f>B41+B46+B47+B52+B57+B66+B97+B114+B119+B145</f>
        <v>187430.09621975172</v>
      </c>
    </row>
    <row r="210" spans="1:2" ht="12.75" hidden="1">
      <c r="A210" s="51" t="s">
        <v>169</v>
      </c>
      <c r="B210" s="90">
        <f>B209/B171</f>
        <v>0.2491044584036248</v>
      </c>
    </row>
    <row r="211" ht="12.75">
      <c r="B211" s="91"/>
    </row>
    <row r="212" ht="12.75">
      <c r="A212" s="92" t="s">
        <v>0</v>
      </c>
    </row>
    <row r="213" ht="14.25">
      <c r="A213" s="93" t="s">
        <v>170</v>
      </c>
    </row>
    <row r="214" ht="14.25">
      <c r="A214" s="94" t="s">
        <v>171</v>
      </c>
    </row>
    <row r="215" spans="1:2" ht="15">
      <c r="A215" s="95" t="s">
        <v>172</v>
      </c>
      <c r="B215" s="6" t="s">
        <v>4</v>
      </c>
    </row>
    <row r="216" spans="1:2" ht="15">
      <c r="A216" s="96" t="s">
        <v>173</v>
      </c>
      <c r="B216" s="97" t="s">
        <v>174</v>
      </c>
    </row>
    <row r="217" spans="1:2" s="68" customFormat="1" ht="15">
      <c r="A217" s="103" t="s">
        <v>31</v>
      </c>
      <c r="B217" s="104">
        <v>14334</v>
      </c>
    </row>
    <row r="218" spans="1:2" s="68" customFormat="1" ht="12.75">
      <c r="A218" s="105" t="s">
        <v>32</v>
      </c>
      <c r="B218" s="106">
        <v>826938.66</v>
      </c>
    </row>
    <row r="219" spans="1:2" s="68" customFormat="1" ht="12.75">
      <c r="A219" s="105" t="s">
        <v>33</v>
      </c>
      <c r="B219" s="106">
        <v>818260.98</v>
      </c>
    </row>
    <row r="220" spans="1:2" s="68" customFormat="1" ht="12.75">
      <c r="A220" s="105" t="s">
        <v>34</v>
      </c>
      <c r="B220" s="106">
        <v>21390.66</v>
      </c>
    </row>
    <row r="221" spans="1:2" s="68" customFormat="1" ht="12.75">
      <c r="A221" s="105" t="s">
        <v>35</v>
      </c>
      <c r="B221" s="106">
        <v>16490.68</v>
      </c>
    </row>
    <row r="222" spans="1:2" s="68" customFormat="1" ht="12.75">
      <c r="A222" s="105" t="s">
        <v>36</v>
      </c>
      <c r="B222" s="106">
        <v>610.71</v>
      </c>
    </row>
    <row r="223" spans="1:2" s="68" customFormat="1" ht="12.75">
      <c r="A223" s="105" t="s">
        <v>37</v>
      </c>
      <c r="B223" s="106">
        <v>610.71</v>
      </c>
    </row>
    <row r="224" spans="1:2" s="68" customFormat="1" ht="12.75">
      <c r="A224" s="105" t="s">
        <v>40</v>
      </c>
      <c r="B224" s="106">
        <v>835362.37</v>
      </c>
    </row>
    <row r="225" spans="1:2" s="68" customFormat="1" ht="12.75">
      <c r="A225" s="107" t="s">
        <v>41</v>
      </c>
      <c r="B225" s="104">
        <v>27911.659999999916</v>
      </c>
    </row>
    <row r="226" spans="1:2" ht="12.75">
      <c r="A226" s="27" t="s">
        <v>42</v>
      </c>
      <c r="B226" s="11"/>
    </row>
    <row r="227" spans="1:2" ht="13.5">
      <c r="A227" s="99" t="s">
        <v>175</v>
      </c>
      <c r="B227" s="98">
        <v>22371.313621001318</v>
      </c>
    </row>
    <row r="228" spans="1:2" ht="14.25">
      <c r="A228" s="100" t="s">
        <v>176</v>
      </c>
      <c r="B228" s="23">
        <v>285688.57194263366</v>
      </c>
    </row>
    <row r="229" spans="1:2" ht="12.75">
      <c r="A229" s="59" t="s">
        <v>177</v>
      </c>
      <c r="B229" s="14">
        <v>11719.762711864409</v>
      </c>
    </row>
    <row r="230" spans="1:2" ht="12.75" customHeight="1">
      <c r="A230" s="60" t="s">
        <v>178</v>
      </c>
      <c r="B230" s="14">
        <v>17484.338983050846</v>
      </c>
    </row>
    <row r="231" spans="1:2" ht="12.75">
      <c r="A231" s="60" t="s">
        <v>94</v>
      </c>
      <c r="B231" s="14">
        <v>0</v>
      </c>
    </row>
    <row r="232" spans="1:2" ht="25.5">
      <c r="A232" s="60" t="s">
        <v>179</v>
      </c>
      <c r="B232" s="14">
        <v>72673.10169491525</v>
      </c>
    </row>
    <row r="233" spans="1:2" ht="12.75">
      <c r="A233" s="61" t="s">
        <v>99</v>
      </c>
      <c r="B233" s="14">
        <v>2692.3389830508477</v>
      </c>
    </row>
    <row r="234" spans="1:2" ht="12.75">
      <c r="A234" s="61" t="s">
        <v>100</v>
      </c>
      <c r="B234" s="14">
        <v>47321.00847457627</v>
      </c>
    </row>
    <row r="235" spans="1:2" ht="12.75">
      <c r="A235" s="61" t="s">
        <v>103</v>
      </c>
      <c r="B235" s="14">
        <v>17338.98305084746</v>
      </c>
    </row>
    <row r="236" spans="1:2" ht="12.75">
      <c r="A236" s="61" t="s">
        <v>180</v>
      </c>
      <c r="B236" s="14">
        <v>37911.5</v>
      </c>
    </row>
    <row r="237" spans="1:2" ht="12.75">
      <c r="A237" s="60" t="s">
        <v>181</v>
      </c>
      <c r="B237" s="14">
        <v>34496.82203389831</v>
      </c>
    </row>
    <row r="238" spans="1:2" ht="12.75">
      <c r="A238" s="60" t="s">
        <v>109</v>
      </c>
      <c r="B238" s="14">
        <v>9740.889830508475</v>
      </c>
    </row>
    <row r="239" spans="1:2" ht="12.75">
      <c r="A239" s="61" t="s">
        <v>182</v>
      </c>
      <c r="B239" s="14">
        <v>10602.216010430247</v>
      </c>
    </row>
    <row r="240" spans="1:2" ht="12.75">
      <c r="A240" s="61" t="s">
        <v>111</v>
      </c>
      <c r="B240" s="14">
        <v>3811.309230769231</v>
      </c>
    </row>
    <row r="241" spans="1:2" ht="15" customHeight="1">
      <c r="A241" s="60" t="s">
        <v>183</v>
      </c>
      <c r="B241" s="14">
        <v>22979.457627118645</v>
      </c>
    </row>
    <row r="242" spans="1:2" ht="12.75">
      <c r="A242" s="61" t="s">
        <v>184</v>
      </c>
      <c r="B242" s="14">
        <v>728.1525423728814</v>
      </c>
    </row>
    <row r="243" spans="1:2" ht="29.25" customHeight="1">
      <c r="A243" s="100" t="s">
        <v>185</v>
      </c>
      <c r="B243" s="23">
        <v>33196.653119557726</v>
      </c>
    </row>
    <row r="244" spans="1:2" ht="14.25">
      <c r="A244" s="100" t="s">
        <v>186</v>
      </c>
      <c r="B244" s="23">
        <v>304632.794079855</v>
      </c>
    </row>
    <row r="245" spans="1:2" ht="15">
      <c r="A245" s="101" t="s">
        <v>187</v>
      </c>
      <c r="B245" s="102">
        <v>141220.41177966102</v>
      </c>
    </row>
    <row r="246" spans="1:2" ht="15">
      <c r="A246" s="95" t="s">
        <v>188</v>
      </c>
      <c r="B246" s="14">
        <v>31287.775</v>
      </c>
    </row>
    <row r="247" spans="1:2" ht="15">
      <c r="A247" s="95" t="s">
        <v>189</v>
      </c>
      <c r="B247" s="14">
        <v>2116</v>
      </c>
    </row>
    <row r="248" spans="1:2" ht="15">
      <c r="A248" s="95" t="s">
        <v>190</v>
      </c>
      <c r="B248" s="14">
        <v>4053.69</v>
      </c>
    </row>
    <row r="249" spans="1:2" ht="15">
      <c r="A249" s="95" t="s">
        <v>191</v>
      </c>
      <c r="B249" s="14">
        <v>103762.94677966101</v>
      </c>
    </row>
    <row r="250" spans="1:2" ht="15">
      <c r="A250" s="95" t="s">
        <v>192</v>
      </c>
      <c r="B250" s="14">
        <v>95460.54</v>
      </c>
    </row>
    <row r="251" spans="1:2" ht="15">
      <c r="A251" s="95" t="s">
        <v>193</v>
      </c>
      <c r="B251" s="14">
        <v>8212.406779661016</v>
      </c>
    </row>
    <row r="252" spans="1:2" ht="15">
      <c r="A252" s="95" t="s">
        <v>194</v>
      </c>
      <c r="B252" s="14">
        <v>90</v>
      </c>
    </row>
    <row r="253" spans="1:2" ht="15">
      <c r="A253" s="101" t="s">
        <v>195</v>
      </c>
      <c r="B253" s="102">
        <v>163412.382300194</v>
      </c>
    </row>
    <row r="254" spans="1:2" ht="15">
      <c r="A254" s="95" t="s">
        <v>196</v>
      </c>
      <c r="B254" s="14">
        <v>46234.7067287607</v>
      </c>
    </row>
    <row r="255" spans="1:2" ht="15">
      <c r="A255" s="95" t="s">
        <v>197</v>
      </c>
      <c r="B255" s="14">
        <v>40820.0345126186</v>
      </c>
    </row>
    <row r="256" spans="1:2" ht="15">
      <c r="A256" s="95" t="s">
        <v>198</v>
      </c>
      <c r="B256" s="14">
        <v>63420.395084239135</v>
      </c>
    </row>
    <row r="257" spans="1:2" ht="15">
      <c r="A257" s="95" t="s">
        <v>199</v>
      </c>
      <c r="B257" s="14">
        <v>12937.245974575568</v>
      </c>
    </row>
    <row r="258" spans="1:2" ht="14.25">
      <c r="A258" s="100" t="s">
        <v>200</v>
      </c>
      <c r="B258" s="23">
        <v>34557.42365272077</v>
      </c>
    </row>
    <row r="259" spans="1:2" ht="28.5">
      <c r="A259" s="100" t="s">
        <v>201</v>
      </c>
      <c r="B259" s="23">
        <v>86741.9613338983</v>
      </c>
    </row>
    <row r="260" spans="1:2" ht="15">
      <c r="A260" s="95" t="s">
        <v>202</v>
      </c>
      <c r="B260" s="14">
        <v>4625.2501322033895</v>
      </c>
    </row>
    <row r="261" spans="1:2" ht="15">
      <c r="A261" s="95" t="s">
        <v>203</v>
      </c>
      <c r="B261" s="14">
        <v>6867.795650847457</v>
      </c>
    </row>
    <row r="262" spans="1:2" ht="15">
      <c r="A262" s="95" t="s">
        <v>204</v>
      </c>
      <c r="B262" s="14">
        <v>19271.875550847457</v>
      </c>
    </row>
    <row r="263" spans="1:2" ht="15">
      <c r="A263" s="95" t="s">
        <v>205</v>
      </c>
      <c r="B263" s="14">
        <v>55977.04</v>
      </c>
    </row>
    <row r="264" spans="1:2" ht="14.25">
      <c r="A264" s="100" t="s">
        <v>206</v>
      </c>
      <c r="B264" s="23">
        <v>7598.258846174173</v>
      </c>
    </row>
    <row r="265" spans="1:2" ht="14.25">
      <c r="A265" s="100" t="s">
        <v>207</v>
      </c>
      <c r="B265" s="23">
        <v>752415.6629748396</v>
      </c>
    </row>
    <row r="266" spans="1:2" ht="14.25">
      <c r="A266" s="100" t="s">
        <v>208</v>
      </c>
      <c r="B266" s="23">
        <v>887850.4823103106</v>
      </c>
    </row>
    <row r="267" spans="1:2" ht="15">
      <c r="A267" s="95" t="s">
        <v>209</v>
      </c>
      <c r="B267" s="14">
        <v>-30116.798689309275</v>
      </c>
    </row>
  </sheetData>
  <printOptions/>
  <pageMargins left="0.31496062992125984" right="0" top="1.0236220472440944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2013-03-29T10:36:01Z</dcterms:modified>
  <cp:category/>
  <cp:version/>
  <cp:contentType/>
  <cp:contentStatus/>
</cp:coreProperties>
</file>